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2"/>
  <workbookPr autoCompressPictures="0"/>
  <mc:AlternateContent xmlns:mc="http://schemas.openxmlformats.org/markup-compatibility/2006">
    <mc:Choice Requires="x15">
      <x15ac:absPath xmlns:x15ac="http://schemas.microsoft.com/office/spreadsheetml/2010/11/ac" url="/Users/karenthorpe/Documents/Great Oaks 2021/Monthly Reports/"/>
    </mc:Choice>
  </mc:AlternateContent>
  <xr:revisionPtr revIDLastSave="0" documentId="8_{AF0440BE-A992-054F-9880-640FAE63C115}" xr6:coauthVersionLast="46" xr6:coauthVersionMax="46" xr10:uidLastSave="{00000000-0000-0000-0000-000000000000}"/>
  <bookViews>
    <workbookView xWindow="0" yWindow="0" windowWidth="51200" windowHeight="28800" tabRatio="500" xr2:uid="{00000000-000D-0000-FFFF-FFFF00000000}"/>
  </bookViews>
  <sheets>
    <sheet name="Cash Flow" sheetId="1" r:id="rId1"/>
    <sheet name="DFMS Summary" sheetId="2" state="hidden" r:id="rId2"/>
    <sheet name="Sheet1" sheetId="3" state="hidden" r:id="rId3"/>
    <sheet name="Cash Report" sheetId="4" r:id="rId4"/>
    <sheet name="Web Report" sheetId="5" r:id="rId5"/>
    <sheet name="GO Format" sheetId="6" state="hidden" r:id="rId6"/>
  </sheets>
  <definedNames>
    <definedName name="aod_1" localSheetId="3">'Cash Report'!$A$6:$I$56</definedName>
    <definedName name="aod_2" localSheetId="3">'Cash Report'!$A$6:$I$56</definedName>
    <definedName name="Months">'Cash Flow'!$AG$4:$AG$15</definedName>
    <definedName name="_xlnm.Print_Area" localSheetId="0">'Cash Flow'!$A$1:$AA$117</definedName>
    <definedName name="_xlnm.Print_Titles" localSheetId="0">'Cash Flow'!$A:$A,'Cash Flow'!$4:$4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67" i="1" l="1"/>
  <c r="Y66" i="1"/>
  <c r="X57" i="1"/>
  <c r="Y25" i="1"/>
  <c r="W63" i="1"/>
  <c r="W54" i="1"/>
  <c r="W53" i="1"/>
  <c r="D44" i="5"/>
  <c r="D41" i="5"/>
  <c r="D42" i="5"/>
  <c r="I18" i="4"/>
  <c r="I68" i="4"/>
  <c r="I67" i="4"/>
  <c r="W22" i="1"/>
  <c r="W87" i="1"/>
  <c r="W80" i="1"/>
  <c r="W82" i="1"/>
  <c r="W86" i="1"/>
  <c r="W72" i="1"/>
  <c r="W74" i="1"/>
  <c r="W42" i="1"/>
  <c r="W76" i="1"/>
  <c r="W68" i="1"/>
  <c r="W32" i="1"/>
  <c r="W34" i="1"/>
  <c r="W31" i="1"/>
  <c r="X68" i="1"/>
  <c r="I10" i="4"/>
  <c r="V20" i="1"/>
  <c r="V86" i="1"/>
  <c r="V82" i="1"/>
  <c r="X66" i="1"/>
  <c r="V63" i="1"/>
  <c r="V68" i="1"/>
  <c r="V51" i="1"/>
  <c r="V34" i="1"/>
  <c r="V31" i="1"/>
  <c r="V32" i="1"/>
  <c r="X76" i="1"/>
  <c r="U20" i="1"/>
  <c r="U14" i="1"/>
  <c r="U13" i="1"/>
  <c r="U34" i="1"/>
  <c r="U87" i="1"/>
  <c r="U86" i="1"/>
  <c r="U82" i="1"/>
  <c r="U63" i="1"/>
  <c r="U66" i="1"/>
  <c r="U51" i="1"/>
  <c r="U54" i="1"/>
  <c r="U53" i="1"/>
  <c r="U55" i="1"/>
  <c r="U31" i="1"/>
  <c r="U32" i="1"/>
  <c r="U36" i="1"/>
  <c r="I43" i="4"/>
  <c r="I17" i="4"/>
  <c r="X56" i="1"/>
  <c r="Y56" i="1"/>
  <c r="T63" i="1"/>
  <c r="T53" i="1"/>
  <c r="T51" i="1"/>
  <c r="T74" i="1"/>
  <c r="T61" i="1"/>
  <c r="T56" i="1" l="1"/>
  <c r="AA26" i="1"/>
  <c r="AA27" i="1"/>
  <c r="AA29" i="1"/>
  <c r="AA30" i="1"/>
  <c r="AA37" i="1"/>
  <c r="AA38" i="1"/>
  <c r="AA40" i="1"/>
  <c r="AA48" i="1"/>
  <c r="AA50" i="1"/>
  <c r="AA79" i="1"/>
  <c r="AA95" i="1"/>
  <c r="AA96" i="1"/>
  <c r="AA97" i="1"/>
  <c r="AA98" i="1"/>
  <c r="AA99" i="1"/>
  <c r="AA100" i="1"/>
  <c r="AA101" i="1"/>
  <c r="AA102" i="1"/>
  <c r="AA103" i="1"/>
  <c r="AA105" i="1"/>
  <c r="AA107" i="1"/>
  <c r="AA108" i="1"/>
  <c r="AA109" i="1"/>
  <c r="I52" i="4"/>
  <c r="I13" i="4"/>
  <c r="T24" i="1"/>
  <c r="T20" i="1"/>
  <c r="T13" i="1"/>
  <c r="T31" i="1"/>
  <c r="T87" i="1"/>
  <c r="T73" i="1"/>
  <c r="T42" i="1"/>
  <c r="T68" i="1"/>
  <c r="T34" i="1"/>
  <c r="T32" i="1"/>
  <c r="C45" i="5"/>
  <c r="C44" i="5"/>
  <c r="C43" i="5"/>
  <c r="C42" i="5"/>
  <c r="C41" i="5"/>
  <c r="C40" i="5"/>
  <c r="C39" i="5"/>
  <c r="C38" i="5"/>
  <c r="C37" i="5"/>
  <c r="C36" i="5"/>
  <c r="C35" i="5"/>
  <c r="C25" i="5"/>
  <c r="C24" i="5"/>
  <c r="C23" i="5"/>
  <c r="C22" i="5"/>
  <c r="C21" i="5"/>
  <c r="C20" i="5"/>
  <c r="C15" i="5"/>
  <c r="C14" i="5"/>
  <c r="C13" i="5"/>
  <c r="C12" i="5"/>
  <c r="C11" i="5"/>
  <c r="C10" i="5"/>
  <c r="Y102" i="1" l="1"/>
  <c r="E114" i="1"/>
  <c r="E115" i="1" s="1"/>
  <c r="S87" i="1" l="1"/>
  <c r="S63" i="1"/>
  <c r="S66" i="1"/>
  <c r="S74" i="1"/>
  <c r="S51" i="1"/>
  <c r="S54" i="1" l="1"/>
  <c r="S22" i="1"/>
  <c r="S20" i="1"/>
  <c r="S15" i="1"/>
  <c r="S32" i="1"/>
  <c r="S65" i="1"/>
  <c r="S59" i="1"/>
  <c r="S76" i="1"/>
  <c r="S34" i="1"/>
  <c r="S31" i="1"/>
  <c r="S36" i="1"/>
  <c r="X54" i="1"/>
  <c r="D24" i="1"/>
  <c r="D66" i="1"/>
  <c r="D54" i="1"/>
  <c r="D53" i="1"/>
  <c r="Q54" i="1"/>
  <c r="P63" i="1"/>
  <c r="O54" i="1"/>
  <c r="O51" i="1"/>
  <c r="O57" i="1"/>
  <c r="R82" i="1" l="1"/>
  <c r="X82" i="1"/>
  <c r="R74" i="1"/>
  <c r="R51" i="1"/>
  <c r="R54" i="1"/>
  <c r="R87" i="1"/>
  <c r="I53" i="4" l="1"/>
  <c r="R20" i="1"/>
  <c r="R24" i="1"/>
  <c r="R63" i="1"/>
  <c r="R68" i="1"/>
  <c r="R34" i="1"/>
  <c r="R31" i="1"/>
  <c r="R32" i="1"/>
  <c r="R36" i="1"/>
  <c r="D102" i="1" l="1"/>
  <c r="D94" i="1"/>
  <c r="D74" i="1"/>
  <c r="D70" i="1"/>
  <c r="D68" i="1"/>
  <c r="D63" i="1"/>
  <c r="D57" i="1"/>
  <c r="D78" i="1" s="1"/>
  <c r="D32" i="1"/>
  <c r="D31" i="1"/>
  <c r="D39" i="1" s="1"/>
  <c r="D18" i="1"/>
  <c r="D28" i="1" s="1"/>
  <c r="D45" i="1" l="1"/>
  <c r="D44" i="1"/>
  <c r="D43" i="1"/>
  <c r="D41" i="1"/>
  <c r="D46" i="1"/>
  <c r="D47" i="1" l="1"/>
  <c r="D104" i="1" s="1"/>
  <c r="D106" i="1" s="1"/>
  <c r="Q77" i="1"/>
  <c r="Q61" i="1"/>
  <c r="N51" i="1"/>
  <c r="N54" i="1"/>
  <c r="N61" i="1"/>
  <c r="D110" i="1" l="1"/>
  <c r="D114" i="1"/>
  <c r="D115" i="1" s="1"/>
  <c r="Q22" i="1"/>
  <c r="Q20" i="1"/>
  <c r="I41" i="4"/>
  <c r="I22" i="4"/>
  <c r="I9" i="4"/>
  <c r="Q87" i="1"/>
  <c r="Q63" i="1"/>
  <c r="Q53" i="1"/>
  <c r="Q34" i="1"/>
  <c r="Q31" i="1"/>
  <c r="Q32" i="1"/>
  <c r="Q36" i="1"/>
  <c r="X73" i="1" l="1"/>
  <c r="Y73" i="1"/>
  <c r="X65" i="1"/>
  <c r="P51" i="1"/>
  <c r="P54" i="1"/>
  <c r="P22" i="1"/>
  <c r="P24" i="1"/>
  <c r="P20" i="1"/>
  <c r="P18" i="1"/>
  <c r="I39" i="4"/>
  <c r="I46" i="4"/>
  <c r="G47" i="4"/>
  <c r="E47" i="4"/>
  <c r="I36" i="4"/>
  <c r="I30" i="4"/>
  <c r="P87" i="1"/>
  <c r="P86" i="1"/>
  <c r="P72" i="1"/>
  <c r="P61" i="1"/>
  <c r="P66" i="1"/>
  <c r="P42" i="1"/>
  <c r="P31" i="1"/>
  <c r="P34" i="1"/>
  <c r="P32" i="1"/>
  <c r="P36" i="1"/>
  <c r="O22" i="1" l="1"/>
  <c r="O20" i="1"/>
  <c r="O63" i="1" l="1"/>
  <c r="O49" i="1"/>
  <c r="O76" i="1"/>
  <c r="O42" i="1"/>
  <c r="O34" i="1"/>
  <c r="O31" i="1"/>
  <c r="O32" i="1"/>
  <c r="I42" i="4" l="1"/>
  <c r="N18" i="1" l="1"/>
  <c r="I57" i="4"/>
  <c r="I8" i="4"/>
  <c r="N87" i="1"/>
  <c r="N86" i="1"/>
  <c r="N80" i="1"/>
  <c r="N63" i="1"/>
  <c r="N76" i="1"/>
  <c r="N34" i="1"/>
  <c r="N31" i="1"/>
  <c r="N32" i="1"/>
  <c r="N36" i="1"/>
  <c r="N22" i="1" l="1"/>
  <c r="N20" i="1"/>
  <c r="N17" i="1"/>
  <c r="N13" i="1"/>
  <c r="T94" i="1"/>
  <c r="T78" i="1"/>
  <c r="C33" i="6" l="1"/>
  <c r="C17" i="5" l="1"/>
  <c r="C27" i="5" s="1"/>
  <c r="W78" i="1"/>
  <c r="W39" i="1"/>
  <c r="I32" i="4"/>
  <c r="I20" i="4"/>
  <c r="V94" i="1"/>
  <c r="F19" i="1"/>
  <c r="G19" i="1" s="1"/>
  <c r="H19" i="1"/>
  <c r="H102" i="1"/>
  <c r="F102" i="1"/>
  <c r="G102" i="1" s="1"/>
  <c r="H100" i="1"/>
  <c r="F100" i="1"/>
  <c r="G100" i="1" s="1"/>
  <c r="F98" i="1"/>
  <c r="G98" i="1" s="1"/>
  <c r="H81" i="1"/>
  <c r="F81" i="1"/>
  <c r="G81" i="1" s="1"/>
  <c r="H82" i="1"/>
  <c r="F82" i="1"/>
  <c r="G82" i="1" s="1"/>
  <c r="H83" i="1"/>
  <c r="F83" i="1"/>
  <c r="G83" i="1" s="1"/>
  <c r="H84" i="1"/>
  <c r="F84" i="1"/>
  <c r="G84" i="1" s="1"/>
  <c r="H85" i="1"/>
  <c r="F85" i="1"/>
  <c r="G85" i="1" s="1"/>
  <c r="H86" i="1"/>
  <c r="F86" i="1"/>
  <c r="G86" i="1" s="1"/>
  <c r="H87" i="1"/>
  <c r="F87" i="1"/>
  <c r="G87" i="1" s="1"/>
  <c r="H88" i="1"/>
  <c r="F88" i="1"/>
  <c r="G88" i="1" s="1"/>
  <c r="H89" i="1"/>
  <c r="F89" i="1"/>
  <c r="G89" i="1" s="1"/>
  <c r="H90" i="1"/>
  <c r="F90" i="1"/>
  <c r="G90" i="1" s="1"/>
  <c r="H91" i="1"/>
  <c r="F91" i="1"/>
  <c r="G91" i="1" s="1"/>
  <c r="H92" i="1"/>
  <c r="F92" i="1"/>
  <c r="G92" i="1" s="1"/>
  <c r="H93" i="1"/>
  <c r="F93" i="1"/>
  <c r="G93" i="1" s="1"/>
  <c r="H80" i="1"/>
  <c r="F80" i="1"/>
  <c r="G80" i="1" s="1"/>
  <c r="H52" i="1"/>
  <c r="F52" i="1"/>
  <c r="G52" i="1" s="1"/>
  <c r="H53" i="1"/>
  <c r="F53" i="1"/>
  <c r="G53" i="1" s="1"/>
  <c r="H54" i="1"/>
  <c r="F54" i="1"/>
  <c r="G54" i="1" s="1"/>
  <c r="H55" i="1"/>
  <c r="F55" i="1"/>
  <c r="G55" i="1" s="1"/>
  <c r="H56" i="1"/>
  <c r="F56" i="1"/>
  <c r="G56" i="1" s="1"/>
  <c r="H57" i="1"/>
  <c r="F57" i="1"/>
  <c r="G57" i="1" s="1"/>
  <c r="H58" i="1"/>
  <c r="F58" i="1"/>
  <c r="G58" i="1" s="1"/>
  <c r="H59" i="1"/>
  <c r="F59" i="1"/>
  <c r="G59" i="1" s="1"/>
  <c r="H60" i="1"/>
  <c r="F60" i="1"/>
  <c r="G60" i="1" s="1"/>
  <c r="H61" i="1"/>
  <c r="F61" i="1"/>
  <c r="G61" i="1" s="1"/>
  <c r="H62" i="1"/>
  <c r="F62" i="1"/>
  <c r="G62" i="1" s="1"/>
  <c r="H63" i="1"/>
  <c r="F63" i="1"/>
  <c r="G63" i="1" s="1"/>
  <c r="H64" i="1"/>
  <c r="F64" i="1"/>
  <c r="G64" i="1" s="1"/>
  <c r="H65" i="1"/>
  <c r="F65" i="1"/>
  <c r="G65" i="1" s="1"/>
  <c r="H66" i="1"/>
  <c r="F66" i="1"/>
  <c r="G66" i="1" s="1"/>
  <c r="H67" i="1"/>
  <c r="F67" i="1"/>
  <c r="G67" i="1" s="1"/>
  <c r="H68" i="1"/>
  <c r="F68" i="1"/>
  <c r="G68" i="1" s="1"/>
  <c r="H69" i="1"/>
  <c r="F69" i="1"/>
  <c r="G69" i="1" s="1"/>
  <c r="H70" i="1"/>
  <c r="F70" i="1"/>
  <c r="G70" i="1" s="1"/>
  <c r="H71" i="1"/>
  <c r="F71" i="1"/>
  <c r="G71" i="1" s="1"/>
  <c r="H72" i="1"/>
  <c r="F72" i="1"/>
  <c r="G72" i="1" s="1"/>
  <c r="H73" i="1"/>
  <c r="F73" i="1"/>
  <c r="G73" i="1" s="1"/>
  <c r="H74" i="1"/>
  <c r="F74" i="1"/>
  <c r="G74" i="1" s="1"/>
  <c r="H75" i="1"/>
  <c r="F75" i="1"/>
  <c r="G75" i="1" s="1"/>
  <c r="H76" i="1"/>
  <c r="F76" i="1"/>
  <c r="G76" i="1" s="1"/>
  <c r="H77" i="1"/>
  <c r="F77" i="1"/>
  <c r="G77" i="1" s="1"/>
  <c r="H51" i="1"/>
  <c r="F51" i="1"/>
  <c r="G51" i="1" s="1"/>
  <c r="H49" i="1"/>
  <c r="F49" i="1"/>
  <c r="G49" i="1" s="1"/>
  <c r="H42" i="1"/>
  <c r="F42" i="1"/>
  <c r="G42" i="1" s="1"/>
  <c r="V39" i="1"/>
  <c r="H32" i="1"/>
  <c r="F32" i="1"/>
  <c r="G32" i="1" s="1"/>
  <c r="H33" i="1"/>
  <c r="F33" i="1"/>
  <c r="G33" i="1" s="1"/>
  <c r="H34" i="1"/>
  <c r="F34" i="1"/>
  <c r="G34" i="1" s="1"/>
  <c r="H35" i="1"/>
  <c r="F35" i="1"/>
  <c r="G35" i="1" s="1"/>
  <c r="H36" i="1"/>
  <c r="F36" i="1"/>
  <c r="G36" i="1" s="1"/>
  <c r="H37" i="1"/>
  <c r="F37" i="1"/>
  <c r="G37" i="1" s="1"/>
  <c r="F31" i="1"/>
  <c r="G31" i="1" s="1"/>
  <c r="F14" i="1"/>
  <c r="G14" i="1" s="1"/>
  <c r="H14" i="1"/>
  <c r="F15" i="1"/>
  <c r="G15" i="1" s="1"/>
  <c r="H15" i="1"/>
  <c r="F16" i="1"/>
  <c r="G16" i="1" s="1"/>
  <c r="H16" i="1"/>
  <c r="F17" i="1"/>
  <c r="G17" i="1" s="1"/>
  <c r="H17" i="1"/>
  <c r="F18" i="1"/>
  <c r="G18" i="1" s="1"/>
  <c r="H18" i="1"/>
  <c r="F20" i="1"/>
  <c r="G20" i="1" s="1"/>
  <c r="H20" i="1"/>
  <c r="F21" i="1"/>
  <c r="G21" i="1" s="1"/>
  <c r="H21" i="1"/>
  <c r="F22" i="1"/>
  <c r="G22" i="1" s="1"/>
  <c r="H22" i="1"/>
  <c r="F23" i="1"/>
  <c r="G23" i="1" s="1"/>
  <c r="H23" i="1"/>
  <c r="F24" i="1"/>
  <c r="G24" i="1" s="1"/>
  <c r="H24" i="1"/>
  <c r="F25" i="1"/>
  <c r="G25" i="1" s="1"/>
  <c r="H25" i="1"/>
  <c r="F26" i="1"/>
  <c r="G26" i="1" s="1"/>
  <c r="H26" i="1"/>
  <c r="F13" i="1"/>
  <c r="G13" i="1" s="1"/>
  <c r="H13" i="1"/>
  <c r="Z19" i="1"/>
  <c r="AA19" i="1" s="1"/>
  <c r="Z14" i="1"/>
  <c r="AA14" i="1" s="1"/>
  <c r="Z15" i="1"/>
  <c r="AA15" i="1" s="1"/>
  <c r="Z16" i="1"/>
  <c r="AA16" i="1" s="1"/>
  <c r="Z17" i="1"/>
  <c r="AA17" i="1" s="1"/>
  <c r="Z18" i="1"/>
  <c r="AA18" i="1" s="1"/>
  <c r="Z20" i="1"/>
  <c r="AA20" i="1" s="1"/>
  <c r="Z21" i="1"/>
  <c r="AA21" i="1" s="1"/>
  <c r="Z22" i="1"/>
  <c r="AA22" i="1" s="1"/>
  <c r="Z23" i="1"/>
  <c r="AA23" i="1" s="1"/>
  <c r="Z24" i="1"/>
  <c r="AA24" i="1" s="1"/>
  <c r="Z25" i="1"/>
  <c r="AA25" i="1" s="1"/>
  <c r="Z13" i="1"/>
  <c r="AA13" i="1" s="1"/>
  <c r="Z32" i="1"/>
  <c r="AA32" i="1" s="1"/>
  <c r="Z33" i="1"/>
  <c r="AA33" i="1" s="1"/>
  <c r="Z34" i="1"/>
  <c r="AA34" i="1" s="1"/>
  <c r="Z35" i="1"/>
  <c r="AA35" i="1" s="1"/>
  <c r="Z36" i="1"/>
  <c r="AA36" i="1" s="1"/>
  <c r="Z37" i="1"/>
  <c r="E39" i="1"/>
  <c r="Z42" i="1"/>
  <c r="AA42" i="1" s="1"/>
  <c r="Z49" i="1"/>
  <c r="AA49" i="1" s="1"/>
  <c r="Z51" i="1"/>
  <c r="AA51" i="1" s="1"/>
  <c r="Z52" i="1"/>
  <c r="AA52" i="1" s="1"/>
  <c r="Z53" i="1"/>
  <c r="AA53" i="1" s="1"/>
  <c r="Z54" i="1"/>
  <c r="AA54" i="1" s="1"/>
  <c r="Z55" i="1"/>
  <c r="AA55" i="1" s="1"/>
  <c r="Z56" i="1"/>
  <c r="AA56" i="1" s="1"/>
  <c r="Z57" i="1"/>
  <c r="AA57" i="1" s="1"/>
  <c r="Z58" i="1"/>
  <c r="AA58" i="1" s="1"/>
  <c r="Z59" i="1"/>
  <c r="AA59" i="1" s="1"/>
  <c r="Z60" i="1"/>
  <c r="AA60" i="1" s="1"/>
  <c r="Z61" i="1"/>
  <c r="AA61" i="1" s="1"/>
  <c r="Z62" i="1"/>
  <c r="AA62" i="1" s="1"/>
  <c r="Z63" i="1"/>
  <c r="AA63" i="1" s="1"/>
  <c r="Z64" i="1"/>
  <c r="AA64" i="1" s="1"/>
  <c r="Z65" i="1"/>
  <c r="AA65" i="1" s="1"/>
  <c r="Z66" i="1"/>
  <c r="AA66" i="1" s="1"/>
  <c r="Z67" i="1"/>
  <c r="AA67" i="1" s="1"/>
  <c r="Z68" i="1"/>
  <c r="AA68" i="1" s="1"/>
  <c r="Z69" i="1"/>
  <c r="AA69" i="1" s="1"/>
  <c r="Z70" i="1"/>
  <c r="AA70" i="1" s="1"/>
  <c r="Z71" i="1"/>
  <c r="AA71" i="1" s="1"/>
  <c r="Z72" i="1"/>
  <c r="AA72" i="1" s="1"/>
  <c r="Z73" i="1"/>
  <c r="AA73" i="1" s="1"/>
  <c r="Z74" i="1"/>
  <c r="AA74" i="1" s="1"/>
  <c r="Z75" i="1"/>
  <c r="AA75" i="1" s="1"/>
  <c r="Z76" i="1"/>
  <c r="AA76" i="1" s="1"/>
  <c r="Z77" i="1"/>
  <c r="AA77" i="1" s="1"/>
  <c r="Z80" i="1"/>
  <c r="AA80" i="1" s="1"/>
  <c r="Z81" i="1"/>
  <c r="AA81" i="1" s="1"/>
  <c r="Z82" i="1"/>
  <c r="AA82" i="1" s="1"/>
  <c r="Z83" i="1"/>
  <c r="AA83" i="1" s="1"/>
  <c r="Z84" i="1"/>
  <c r="AA84" i="1" s="1"/>
  <c r="Z85" i="1"/>
  <c r="AA85" i="1" s="1"/>
  <c r="Z86" i="1"/>
  <c r="AA86" i="1" s="1"/>
  <c r="Z87" i="1"/>
  <c r="AA87" i="1" s="1"/>
  <c r="Z88" i="1"/>
  <c r="AA88" i="1" s="1"/>
  <c r="Z89" i="1"/>
  <c r="AA89" i="1" s="1"/>
  <c r="Z90" i="1"/>
  <c r="AA90" i="1" s="1"/>
  <c r="Z91" i="1"/>
  <c r="AA91" i="1" s="1"/>
  <c r="Z92" i="1"/>
  <c r="AA92" i="1" s="1"/>
  <c r="Z93" i="1"/>
  <c r="AA93" i="1" s="1"/>
  <c r="Z100" i="1"/>
  <c r="Z102" i="1"/>
  <c r="G26" i="4"/>
  <c r="G61" i="4"/>
  <c r="F26" i="4"/>
  <c r="F61" i="4"/>
  <c r="E61" i="4"/>
  <c r="E26" i="4"/>
  <c r="I58" i="4"/>
  <c r="I11" i="4"/>
  <c r="I23" i="4"/>
  <c r="I38" i="4"/>
  <c r="B4" i="6"/>
  <c r="C4" i="6" s="1"/>
  <c r="B11" i="6"/>
  <c r="B26" i="6"/>
  <c r="B27" i="6"/>
  <c r="B28" i="6"/>
  <c r="B29" i="6"/>
  <c r="B21" i="6"/>
  <c r="B34" i="6"/>
  <c r="B7" i="6"/>
  <c r="B8" i="6"/>
  <c r="B9" i="6"/>
  <c r="B13" i="6"/>
  <c r="D33" i="6"/>
  <c r="E10" i="6"/>
  <c r="C3" i="6"/>
  <c r="D47" i="5"/>
  <c r="G39" i="5"/>
  <c r="H39" i="5"/>
  <c r="C26" i="5"/>
  <c r="G9" i="5"/>
  <c r="B3" i="5"/>
  <c r="F47" i="4"/>
  <c r="H26" i="4"/>
  <c r="H47" i="4"/>
  <c r="H61" i="4"/>
  <c r="H63" i="4"/>
  <c r="I59" i="4"/>
  <c r="I56" i="4"/>
  <c r="I55" i="4"/>
  <c r="I54" i="4"/>
  <c r="I51" i="4"/>
  <c r="I50" i="4"/>
  <c r="I49" i="4"/>
  <c r="I45" i="4"/>
  <c r="I44" i="4"/>
  <c r="I40" i="4"/>
  <c r="I37" i="4"/>
  <c r="I35" i="4"/>
  <c r="I34" i="4"/>
  <c r="I33" i="4"/>
  <c r="I31" i="4"/>
  <c r="I29" i="4"/>
  <c r="I28" i="4"/>
  <c r="I25" i="4"/>
  <c r="I24" i="4"/>
  <c r="I21" i="4"/>
  <c r="I19" i="4"/>
  <c r="I16" i="4"/>
  <c r="I15" i="4"/>
  <c r="I14" i="4"/>
  <c r="I12" i="4"/>
  <c r="I7" i="4"/>
  <c r="A4" i="4"/>
  <c r="G29" i="3"/>
  <c r="G30" i="3"/>
  <c r="G31" i="3"/>
  <c r="G32" i="3"/>
  <c r="G33" i="3"/>
  <c r="G34" i="3"/>
  <c r="G35" i="3"/>
  <c r="G36" i="3"/>
  <c r="G37" i="3"/>
  <c r="G38" i="3"/>
  <c r="G39" i="3"/>
  <c r="G43" i="3"/>
  <c r="G44" i="3"/>
  <c r="G45" i="3"/>
  <c r="G46" i="3"/>
  <c r="G47" i="3"/>
  <c r="G48" i="3"/>
  <c r="G49" i="3"/>
  <c r="G51" i="3"/>
  <c r="F50" i="3"/>
  <c r="G50" i="3"/>
  <c r="D30" i="3"/>
  <c r="D32" i="3"/>
  <c r="D38" i="3"/>
  <c r="D40" i="3"/>
  <c r="D41" i="3"/>
  <c r="D42" i="3"/>
  <c r="D45" i="3"/>
  <c r="C29" i="3"/>
  <c r="B24" i="3"/>
  <c r="B26" i="3"/>
  <c r="B20" i="3"/>
  <c r="B21" i="3"/>
  <c r="B22" i="3"/>
  <c r="C14" i="3"/>
  <c r="B14" i="3"/>
  <c r="D14" i="3"/>
  <c r="B11" i="3"/>
  <c r="B9" i="3"/>
  <c r="C8" i="3"/>
  <c r="D8" i="3"/>
  <c r="B7" i="3"/>
  <c r="B6" i="3"/>
  <c r="H9" i="2"/>
  <c r="H20" i="2"/>
  <c r="H26" i="2"/>
  <c r="H29" i="2"/>
  <c r="I3" i="2"/>
  <c r="I5" i="2"/>
  <c r="I6" i="2"/>
  <c r="I7" i="2"/>
  <c r="I9" i="2"/>
  <c r="I14" i="2"/>
  <c r="I18" i="2"/>
  <c r="I20" i="2"/>
  <c r="I22" i="2"/>
  <c r="I23" i="2"/>
  <c r="I24" i="2"/>
  <c r="I26" i="2"/>
  <c r="G9" i="2"/>
  <c r="G20" i="2"/>
  <c r="G26" i="2"/>
  <c r="F9" i="2"/>
  <c r="F20" i="2"/>
  <c r="F26" i="2"/>
  <c r="N28" i="1"/>
  <c r="N94" i="1"/>
  <c r="N78" i="1"/>
  <c r="N47" i="1"/>
  <c r="N39" i="1"/>
  <c r="O28" i="1"/>
  <c r="O94" i="1"/>
  <c r="O78" i="1"/>
  <c r="O47" i="1"/>
  <c r="O39" i="1"/>
  <c r="P28" i="1"/>
  <c r="P94" i="1"/>
  <c r="P78" i="1"/>
  <c r="P47" i="1"/>
  <c r="P39" i="1"/>
  <c r="Q28" i="1"/>
  <c r="Q94" i="1"/>
  <c r="Q78" i="1"/>
  <c r="Q39" i="1"/>
  <c r="R28" i="1"/>
  <c r="R94" i="1"/>
  <c r="R78" i="1"/>
  <c r="R39" i="1"/>
  <c r="S28" i="1"/>
  <c r="S94" i="1"/>
  <c r="S78" i="1"/>
  <c r="T28" i="1"/>
  <c r="U28" i="1"/>
  <c r="U94" i="1"/>
  <c r="U78" i="1"/>
  <c r="V28" i="1"/>
  <c r="V78" i="1"/>
  <c r="W28" i="1"/>
  <c r="W94" i="1"/>
  <c r="X28" i="1"/>
  <c r="X94" i="1"/>
  <c r="X78" i="1"/>
  <c r="Y28" i="1"/>
  <c r="Y94" i="1"/>
  <c r="Y78" i="1"/>
  <c r="Z26" i="1"/>
  <c r="Z96" i="1"/>
  <c r="K27" i="1"/>
  <c r="J28" i="1"/>
  <c r="J94" i="1"/>
  <c r="J78" i="1"/>
  <c r="J47" i="1"/>
  <c r="J39" i="1"/>
  <c r="J104" i="1"/>
  <c r="J106" i="1" s="1"/>
  <c r="J110" i="1" s="1"/>
  <c r="E28" i="1"/>
  <c r="E102" i="1"/>
  <c r="E94" i="1"/>
  <c r="E78" i="1"/>
  <c r="E47" i="1"/>
  <c r="I47" i="1"/>
  <c r="I39" i="1"/>
  <c r="N8" i="1" a="1"/>
  <c r="Y8" i="1" s="1"/>
  <c r="A4" i="1"/>
  <c r="N4" i="1" s="1"/>
  <c r="N3" i="1"/>
  <c r="V47" i="1" l="1"/>
  <c r="V104" i="1"/>
  <c r="V106" i="1" s="1"/>
  <c r="T39" i="1"/>
  <c r="I47" i="4"/>
  <c r="B19" i="6"/>
  <c r="F37" i="5"/>
  <c r="G37" i="5" s="1"/>
  <c r="C21" i="6"/>
  <c r="D21" i="6" s="1"/>
  <c r="D15" i="5"/>
  <c r="F15" i="5" s="1"/>
  <c r="D22" i="5"/>
  <c r="G22" i="5" s="1"/>
  <c r="D23" i="5"/>
  <c r="G23" i="5" s="1"/>
  <c r="D24" i="5"/>
  <c r="G24" i="5" s="1"/>
  <c r="D14" i="5"/>
  <c r="G14" i="5" s="1"/>
  <c r="B15" i="6"/>
  <c r="F63" i="4"/>
  <c r="I26" i="4"/>
  <c r="Z94" i="1"/>
  <c r="AA94" i="1" s="1"/>
  <c r="N104" i="1"/>
  <c r="N106" i="1" s="1"/>
  <c r="N110" i="1" s="1"/>
  <c r="P104" i="1"/>
  <c r="P106" i="1" s="1"/>
  <c r="O104" i="1"/>
  <c r="O106" i="1" s="1"/>
  <c r="N112" i="1"/>
  <c r="Z28" i="1"/>
  <c r="AA28" i="1" s="1"/>
  <c r="B30" i="6"/>
  <c r="E104" i="1"/>
  <c r="B44" i="6"/>
  <c r="X8" i="1"/>
  <c r="W8" i="1"/>
  <c r="U8" i="1"/>
  <c r="T8" i="1"/>
  <c r="S8" i="1"/>
  <c r="V8" i="1"/>
  <c r="Q8" i="1"/>
  <c r="P8" i="1"/>
  <c r="O8" i="1"/>
  <c r="C34" i="6"/>
  <c r="D34" i="6" s="1"/>
  <c r="R8" i="1"/>
  <c r="N8" i="1"/>
  <c r="E63" i="4"/>
  <c r="I61" i="4"/>
  <c r="G63" i="4"/>
  <c r="F45" i="5"/>
  <c r="G45" i="5" s="1"/>
  <c r="D12" i="5"/>
  <c r="F12" i="5" s="1"/>
  <c r="C28" i="6"/>
  <c r="E28" i="6" s="1"/>
  <c r="F39" i="1"/>
  <c r="G39" i="1" s="1"/>
  <c r="C26" i="6"/>
  <c r="D26" i="6" s="1"/>
  <c r="F42" i="5"/>
  <c r="H42" i="5" s="1"/>
  <c r="K81" i="1"/>
  <c r="L81" i="1" s="1"/>
  <c r="D10" i="5"/>
  <c r="F10" i="5" s="1"/>
  <c r="C7" i="6"/>
  <c r="D7" i="6" s="1"/>
  <c r="C13" i="6"/>
  <c r="E13" i="6" s="1"/>
  <c r="C9" i="6"/>
  <c r="E9" i="6" s="1"/>
  <c r="D21" i="5"/>
  <c r="D11" i="5"/>
  <c r="C11" i="6"/>
  <c r="C44" i="6" s="1"/>
  <c r="H28" i="1"/>
  <c r="K66" i="1"/>
  <c r="L66" i="1" s="1"/>
  <c r="F43" i="5"/>
  <c r="H43" i="5" s="1"/>
  <c r="F41" i="5"/>
  <c r="G41" i="5" s="1"/>
  <c r="F36" i="5"/>
  <c r="G36" i="5" s="1"/>
  <c r="K62" i="1"/>
  <c r="L62" i="1" s="1"/>
  <c r="H78" i="1"/>
  <c r="K93" i="1"/>
  <c r="L93" i="1" s="1"/>
  <c r="K89" i="1"/>
  <c r="L89" i="1" s="1"/>
  <c r="K85" i="1"/>
  <c r="L85" i="1" s="1"/>
  <c r="K83" i="1"/>
  <c r="L83" i="1" s="1"/>
  <c r="F40" i="5"/>
  <c r="H40" i="5" s="1"/>
  <c r="D20" i="5"/>
  <c r="G20" i="5" s="1"/>
  <c r="F38" i="5"/>
  <c r="H38" i="5" s="1"/>
  <c r="C29" i="6"/>
  <c r="E29" i="6" s="1"/>
  <c r="K67" i="1"/>
  <c r="L67" i="1" s="1"/>
  <c r="H94" i="1"/>
  <c r="K17" i="1"/>
  <c r="L17" i="1" s="1"/>
  <c r="K36" i="1"/>
  <c r="L36" i="1" s="1"/>
  <c r="K34" i="1"/>
  <c r="L34" i="1" s="1"/>
  <c r="K51" i="1"/>
  <c r="L51" i="1" s="1"/>
  <c r="K74" i="1"/>
  <c r="L74" i="1" s="1"/>
  <c r="K72" i="1"/>
  <c r="L72" i="1" s="1"/>
  <c r="K70" i="1"/>
  <c r="L70" i="1" s="1"/>
  <c r="K102" i="1"/>
  <c r="L102" i="1" s="1"/>
  <c r="K16" i="1"/>
  <c r="L16" i="1" s="1"/>
  <c r="K37" i="1"/>
  <c r="L37" i="1" s="1"/>
  <c r="K77" i="1"/>
  <c r="L77" i="1" s="1"/>
  <c r="Z78" i="1"/>
  <c r="AA78" i="1" s="1"/>
  <c r="D13" i="5"/>
  <c r="K49" i="1"/>
  <c r="L49" i="1" s="1"/>
  <c r="K73" i="1"/>
  <c r="L73" i="1" s="1"/>
  <c r="K90" i="1"/>
  <c r="L90" i="1" s="1"/>
  <c r="K58" i="1"/>
  <c r="L58" i="1" s="1"/>
  <c r="K56" i="1"/>
  <c r="L56" i="1" s="1"/>
  <c r="K54" i="1"/>
  <c r="L54" i="1" s="1"/>
  <c r="K13" i="1"/>
  <c r="L13" i="1" s="1"/>
  <c r="K23" i="1"/>
  <c r="L23" i="1" s="1"/>
  <c r="K21" i="1"/>
  <c r="L21" i="1" s="1"/>
  <c r="K18" i="1"/>
  <c r="L18" i="1" s="1"/>
  <c r="K33" i="1"/>
  <c r="L33" i="1" s="1"/>
  <c r="K63" i="1"/>
  <c r="L63" i="1" s="1"/>
  <c r="K61" i="1"/>
  <c r="L61" i="1" s="1"/>
  <c r="K57" i="1"/>
  <c r="L57" i="1" s="1"/>
  <c r="K53" i="1"/>
  <c r="L53" i="1" s="1"/>
  <c r="D25" i="5"/>
  <c r="C8" i="6"/>
  <c r="D8" i="6" s="1"/>
  <c r="C27" i="6"/>
  <c r="F78" i="1"/>
  <c r="G78" i="1" s="1"/>
  <c r="K20" i="1"/>
  <c r="L20" i="1" s="1"/>
  <c r="K35" i="1"/>
  <c r="L35" i="1" s="1"/>
  <c r="K42" i="1"/>
  <c r="L42" i="1" s="1"/>
  <c r="K71" i="1"/>
  <c r="L71" i="1" s="1"/>
  <c r="K69" i="1"/>
  <c r="L69" i="1" s="1"/>
  <c r="K64" i="1"/>
  <c r="L64" i="1" s="1"/>
  <c r="K55" i="1"/>
  <c r="L55" i="1" s="1"/>
  <c r="K91" i="1"/>
  <c r="L91" i="1" s="1"/>
  <c r="K82" i="1"/>
  <c r="L82" i="1" s="1"/>
  <c r="K14" i="1"/>
  <c r="L14" i="1" s="1"/>
  <c r="F28" i="1"/>
  <c r="G28" i="1" s="1"/>
  <c r="K25" i="1"/>
  <c r="L25" i="1" s="1"/>
  <c r="K15" i="1"/>
  <c r="L15" i="1" s="1"/>
  <c r="K76" i="1"/>
  <c r="L76" i="1" s="1"/>
  <c r="K65" i="1"/>
  <c r="L65" i="1" s="1"/>
  <c r="K60" i="1"/>
  <c r="L60" i="1" s="1"/>
  <c r="K80" i="1"/>
  <c r="L80" i="1" s="1"/>
  <c r="K87" i="1"/>
  <c r="L87" i="1" s="1"/>
  <c r="K24" i="1"/>
  <c r="L24" i="1" s="1"/>
  <c r="K32" i="1"/>
  <c r="L32" i="1" s="1"/>
  <c r="K75" i="1"/>
  <c r="L75" i="1" s="1"/>
  <c r="K68" i="1"/>
  <c r="L68" i="1" s="1"/>
  <c r="K59" i="1"/>
  <c r="L59" i="1" s="1"/>
  <c r="K52" i="1"/>
  <c r="L52" i="1" s="1"/>
  <c r="K86" i="1"/>
  <c r="L86" i="1" s="1"/>
  <c r="K100" i="1"/>
  <c r="L100" i="1" s="1"/>
  <c r="F94" i="1"/>
  <c r="G94" i="1" s="1"/>
  <c r="K92" i="1"/>
  <c r="L92" i="1" s="1"/>
  <c r="K88" i="1"/>
  <c r="L88" i="1" s="1"/>
  <c r="K84" i="1"/>
  <c r="L84" i="1" s="1"/>
  <c r="K26" i="1"/>
  <c r="L26" i="1" s="1"/>
  <c r="K22" i="1"/>
  <c r="L22" i="1" s="1"/>
  <c r="K19" i="1"/>
  <c r="L19" i="1" s="1"/>
  <c r="W47" i="1" l="1"/>
  <c r="W104" i="1" s="1"/>
  <c r="W106" i="1" s="1"/>
  <c r="R47" i="1"/>
  <c r="R104" i="1" s="1"/>
  <c r="R106" i="1" s="1"/>
  <c r="Q47" i="1"/>
  <c r="Q104" i="1" s="1"/>
  <c r="Q106" i="1" s="1"/>
  <c r="S39" i="1"/>
  <c r="H37" i="5"/>
  <c r="B22" i="6"/>
  <c r="B20" i="6"/>
  <c r="F22" i="5"/>
  <c r="G15" i="5"/>
  <c r="E21" i="6"/>
  <c r="F24" i="5"/>
  <c r="F23" i="5"/>
  <c r="F14" i="5"/>
  <c r="O110" i="1"/>
  <c r="O112" i="1" s="1"/>
  <c r="I63" i="4"/>
  <c r="G12" i="5"/>
  <c r="E106" i="1"/>
  <c r="E110" i="1" s="1"/>
  <c r="H45" i="5"/>
  <c r="D13" i="6"/>
  <c r="C19" i="6"/>
  <c r="D19" i="6" s="1"/>
  <c r="G38" i="5"/>
  <c r="D28" i="6"/>
  <c r="G42" i="5"/>
  <c r="D9" i="6"/>
  <c r="E26" i="6"/>
  <c r="G40" i="5"/>
  <c r="H41" i="5"/>
  <c r="D29" i="6"/>
  <c r="E7" i="6"/>
  <c r="G10" i="5"/>
  <c r="D17" i="5"/>
  <c r="F17" i="5" s="1"/>
  <c r="H36" i="5"/>
  <c r="F20" i="5"/>
  <c r="D11" i="6"/>
  <c r="E11" i="6"/>
  <c r="G43" i="5"/>
  <c r="G21" i="5"/>
  <c r="F21" i="5"/>
  <c r="F11" i="5"/>
  <c r="G11" i="5"/>
  <c r="C30" i="6"/>
  <c r="E30" i="6" s="1"/>
  <c r="G13" i="5"/>
  <c r="K78" i="1"/>
  <c r="E27" i="6"/>
  <c r="D27" i="6"/>
  <c r="C15" i="6"/>
  <c r="E8" i="6"/>
  <c r="K28" i="1"/>
  <c r="F25" i="5"/>
  <c r="G25" i="5"/>
  <c r="L78" i="1"/>
  <c r="D26" i="5"/>
  <c r="F26" i="5" s="1"/>
  <c r="K94" i="1"/>
  <c r="L28" i="1"/>
  <c r="L94" i="1"/>
  <c r="T47" i="1" l="1"/>
  <c r="T104" i="1" s="1"/>
  <c r="T106" i="1" s="1"/>
  <c r="B23" i="6"/>
  <c r="B31" i="6" s="1"/>
  <c r="B36" i="6" s="1"/>
  <c r="B38" i="6" s="1"/>
  <c r="P110" i="1"/>
  <c r="P112" i="1" s="1"/>
  <c r="E19" i="6"/>
  <c r="G26" i="5"/>
  <c r="D27" i="5"/>
  <c r="F27" i="5" s="1"/>
  <c r="D30" i="6"/>
  <c r="G17" i="5"/>
  <c r="D15" i="6"/>
  <c r="E15" i="6"/>
  <c r="B40" i="6" l="1"/>
  <c r="B42" i="6"/>
  <c r="S47" i="1"/>
  <c r="S104" i="1" s="1"/>
  <c r="S106" i="1" s="1"/>
  <c r="C47" i="5"/>
  <c r="Q110" i="1"/>
  <c r="R110" i="1" s="1"/>
  <c r="R112" i="1" s="1"/>
  <c r="G27" i="5"/>
  <c r="S110" i="1" l="1"/>
  <c r="T110" i="1" s="1"/>
  <c r="Q112" i="1"/>
  <c r="S112" i="1" l="1"/>
  <c r="T112" i="1"/>
  <c r="X39" i="1" l="1"/>
  <c r="Y39" i="1"/>
  <c r="U39" i="1"/>
  <c r="H31" i="1"/>
  <c r="H39" i="1" s="1"/>
  <c r="Z31" i="1"/>
  <c r="AA31" i="1" s="1"/>
  <c r="X44" i="1" l="1"/>
  <c r="X46" i="1"/>
  <c r="X41" i="1"/>
  <c r="X45" i="1"/>
  <c r="X43" i="1"/>
  <c r="F44" i="1"/>
  <c r="G44" i="1" s="1"/>
  <c r="F46" i="1"/>
  <c r="G46" i="1" s="1"/>
  <c r="F41" i="1"/>
  <c r="F43" i="1"/>
  <c r="F45" i="1"/>
  <c r="G45" i="1" s="1"/>
  <c r="Y45" i="1"/>
  <c r="Y41" i="1"/>
  <c r="Y44" i="1"/>
  <c r="Y46" i="1"/>
  <c r="Y43" i="1"/>
  <c r="K31" i="1"/>
  <c r="Z39" i="1"/>
  <c r="AA39" i="1" s="1"/>
  <c r="G43" i="1" l="1"/>
  <c r="C20" i="6"/>
  <c r="G41" i="1"/>
  <c r="F47" i="1"/>
  <c r="C22" i="6"/>
  <c r="Y47" i="1"/>
  <c r="Z43" i="1"/>
  <c r="AA43" i="1" s="1"/>
  <c r="H43" i="1"/>
  <c r="K43" i="1" s="1"/>
  <c r="L43" i="1" s="1"/>
  <c r="H46" i="1"/>
  <c r="K46" i="1" s="1"/>
  <c r="L46" i="1" s="1"/>
  <c r="Z46" i="1"/>
  <c r="AA46" i="1" s="1"/>
  <c r="Z45" i="1"/>
  <c r="AA45" i="1" s="1"/>
  <c r="H45" i="1"/>
  <c r="K45" i="1" s="1"/>
  <c r="L45" i="1" s="1"/>
  <c r="Z44" i="1"/>
  <c r="AA44" i="1" s="1"/>
  <c r="H44" i="1"/>
  <c r="K44" i="1" s="1"/>
  <c r="L44" i="1" s="1"/>
  <c r="X47" i="1"/>
  <c r="X104" i="1" s="1"/>
  <c r="X106" i="1" s="1"/>
  <c r="U47" i="1"/>
  <c r="U104" i="1" s="1"/>
  <c r="H41" i="1"/>
  <c r="Z41" i="1"/>
  <c r="AA41" i="1" s="1"/>
  <c r="L31" i="1"/>
  <c r="L39" i="1" s="1"/>
  <c r="K39" i="1"/>
  <c r="U106" i="1" l="1"/>
  <c r="U110" i="1" s="1"/>
  <c r="G47" i="1"/>
  <c r="F35" i="5"/>
  <c r="F104" i="1"/>
  <c r="E22" i="6"/>
  <c r="D22" i="6"/>
  <c r="C23" i="6"/>
  <c r="E20" i="6"/>
  <c r="D20" i="6"/>
  <c r="H47" i="1"/>
  <c r="K41" i="1"/>
  <c r="Z47" i="1"/>
  <c r="AA47" i="1" s="1"/>
  <c r="V110" i="1"/>
  <c r="U112" i="1"/>
  <c r="E23" i="6" l="1"/>
  <c r="C31" i="6"/>
  <c r="D23" i="6"/>
  <c r="G35" i="5"/>
  <c r="H35" i="5"/>
  <c r="G104" i="1"/>
  <c r="F106" i="1"/>
  <c r="F110" i="1" s="1"/>
  <c r="F112" i="1" s="1"/>
  <c r="F44" i="5"/>
  <c r="Z98" i="1"/>
  <c r="H98" i="1"/>
  <c r="H104" i="1" s="1"/>
  <c r="H106" i="1" s="1"/>
  <c r="H110" i="1" s="1"/>
  <c r="Y104" i="1"/>
  <c r="Y106" i="1" s="1"/>
  <c r="V112" i="1"/>
  <c r="W110" i="1"/>
  <c r="L41" i="1"/>
  <c r="L47" i="1" s="1"/>
  <c r="K47" i="1"/>
  <c r="Z104" i="1"/>
  <c r="AA104" i="1" s="1"/>
  <c r="H44" i="5" l="1"/>
  <c r="G44" i="5"/>
  <c r="G47" i="5" s="1"/>
  <c r="F47" i="5"/>
  <c r="C42" i="6"/>
  <c r="C40" i="6"/>
  <c r="C36" i="6"/>
  <c r="C38" i="6" s="1"/>
  <c r="E31" i="6"/>
  <c r="D31" i="6"/>
  <c r="K98" i="1"/>
  <c r="L98" i="1" s="1"/>
  <c r="L104" i="1" s="1"/>
  <c r="L106" i="1" s="1"/>
  <c r="L110" i="1" s="1"/>
  <c r="X110" i="1"/>
  <c r="X112" i="1" s="1"/>
  <c r="W112" i="1"/>
  <c r="Z106" i="1"/>
  <c r="AA106" i="1" s="1"/>
  <c r="F50" i="5" l="1"/>
  <c r="F51" i="5" s="1"/>
  <c r="H47" i="5"/>
  <c r="K104" i="1"/>
  <c r="K106" i="1" s="1"/>
  <c r="K110" i="1" s="1"/>
  <c r="Y110" i="1"/>
  <c r="Y112" i="1" s="1"/>
  <c r="Z110" i="1"/>
  <c r="AA110" i="1" l="1"/>
  <c r="Z1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Karen Thorpe</author>
  </authors>
  <commentList>
    <comment ref="E21" authorId="0" shapeId="0" xr:uid="{00000000-0006-0000-0000-000001000000}">
      <text>
        <r>
          <rPr>
            <sz val="11"/>
            <color rgb="FF000000"/>
            <rFont val="Arial"/>
            <family val="2"/>
          </rPr>
          <t xml:space="preserve">======
</t>
        </r>
        <r>
          <rPr>
            <sz val="11"/>
            <color rgb="FF000000"/>
            <rFont val="Arial"/>
            <family val="2"/>
          </rPr>
          <t xml:space="preserve">ID#AAAAI8Ze5vE
</t>
        </r>
        <r>
          <rPr>
            <sz val="11"/>
            <color rgb="FF000000"/>
            <rFont val="Arial"/>
            <family val="2"/>
          </rPr>
          <t xml:space="preserve">Karen Thorpe    (2020-02-14 18:21:42)
</t>
        </r>
        <r>
          <rPr>
            <sz val="11"/>
            <color rgb="FF000000"/>
            <rFont val="Arial"/>
            <family val="2"/>
          </rPr>
          <t>Determine how much CSP can be drawn based on the expenses in the budget</t>
        </r>
      </text>
    </comment>
    <comment ref="E24" authorId="0" shapeId="0" xr:uid="{00000000-0006-0000-0000-000002000000}">
      <text>
        <r>
          <rPr>
            <sz val="11"/>
            <color rgb="FF000000"/>
            <rFont val="Arial"/>
            <family val="2"/>
          </rPr>
          <t xml:space="preserve">======
</t>
        </r>
        <r>
          <rPr>
            <sz val="11"/>
            <color rgb="FF000000"/>
            <rFont val="Arial"/>
            <family val="2"/>
          </rPr>
          <t xml:space="preserve">ID#AAAAI8Ze5vI
</t>
        </r>
        <r>
          <rPr>
            <sz val="11"/>
            <color rgb="FF000000"/>
            <rFont val="Arial"/>
            <family val="2"/>
          </rPr>
          <t xml:space="preserve">Karen Thorpe    (2020-02-14 18:21:42)
</t>
        </r>
        <r>
          <rPr>
            <sz val="11"/>
            <color rgb="FF000000"/>
            <rFont val="Arial"/>
            <family val="2"/>
          </rPr>
          <t>Determine amount of contributions</t>
        </r>
      </text>
    </comment>
    <comment ref="Y25" authorId="1" shapeId="0" xr:uid="{87D9C8C2-F4D1-584A-B06A-68F27E806CA4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Cleveland reimb
</t>
        </r>
      </text>
    </comment>
    <comment ref="O51" authorId="1" shapeId="0" xr:uid="{85FE8B77-9640-FA41-A7F5-95DBC35C890B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GOF, Computers Xcetera</t>
        </r>
      </text>
    </comment>
    <comment ref="P51" authorId="1" shapeId="0" xr:uid="{CCF21914-AE0C-1940-882D-CCE468CADD82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4th Dimension, Jarmon, CDW, CommonLit,Discovery Ed, McGraw HillRyan, Summer Learning College, Thorpe
</t>
        </r>
      </text>
    </comment>
    <comment ref="P53" authorId="1" shapeId="0" xr:uid="{D20B4BEA-C959-8B44-BDE5-F672F41F46B4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Personal Wellness
</t>
        </r>
      </text>
    </comment>
    <comment ref="N54" authorId="1" shapeId="0" xr:uid="{43495ECA-0528-0E4E-A24B-0BFADE6C4657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Patrick Ryan, Jarmon, McGriff</t>
        </r>
      </text>
    </comment>
    <comment ref="Q54" authorId="1" shapeId="0" xr:uid="{7A5BDD87-2099-5E4F-BCD0-BD90ED2DD0ED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GOF
</t>
        </r>
      </text>
    </comment>
    <comment ref="D56" authorId="1" shapeId="0" xr:uid="{DA892E54-295C-FD41-A63D-D4BA7626FE8E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contracted paras
</t>
        </r>
      </text>
    </comment>
    <comment ref="P72" authorId="1" shapeId="0" xr:uid="{F64A6C96-45C7-444B-BFED-F618B99EDF3E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Brown U, Severen, Burke, Gillis
</t>
        </r>
      </text>
    </comment>
    <comment ref="D74" authorId="1" shapeId="0" xr:uid="{A425E6B9-BB49-1B43-8068-80E782D27DDE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Personal Wellness, WAVE Pod, Teen Warehouse, CIT Pods, Learning Pods, Springboard, Edmentum, G Suite, Zoom, PPE, Macbooks, Darden, Jarmon, 4th Dimension (2nd paymt), Health Benefits AMericorp
</t>
        </r>
      </text>
    </comment>
    <comment ref="R74" authorId="1" shapeId="0" xr:uid="{21CA25E7-D119-6E4D-B60D-10482A682654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4th Dimension, Accelerate Learning, Jarmon, Darden
</t>
        </r>
      </text>
    </comment>
    <comment ref="S74" authorId="1" shapeId="0" xr:uid="{E434653B-49B0-824B-A98D-75F8B63A5EFD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WAVE Pods 19500
</t>
        </r>
        <r>
          <rPr>
            <sz val="10"/>
            <color rgb="FF000000"/>
            <rFont val="Tahoma"/>
            <family val="2"/>
          </rPr>
          <t xml:space="preserve">Nkki
</t>
        </r>
      </text>
    </comment>
    <comment ref="T74" authorId="1" shapeId="0" xr:uid="{04B86C25-10DB-204E-9F84-365FFF9FC38D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CollegeSpringBoard
</t>
        </r>
      </text>
    </comment>
    <comment ref="V74" authorId="1" shapeId="0" xr:uid="{747048DA-1D98-6840-9B4C-F405B7C05FFE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Darryl Chambers</t>
        </r>
      </text>
    </comment>
    <comment ref="Q77" authorId="1" shapeId="0" xr:uid="{8B318208-1DCF-C343-9589-EFC2E8D349BD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Jarmon, Ryan</t>
        </r>
      </text>
    </comment>
    <comment ref="Q86" authorId="1" shapeId="0" xr:uid="{7BE04160-A07E-8943-8EE3-EAACAB85B02A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Nerdit</t>
        </r>
      </text>
    </comment>
    <comment ref="P87" authorId="1" shapeId="0" xr:uid="{140FAA1C-A8A8-374F-B38A-1B28E57EFEB5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Greenwood Publishing
</t>
        </r>
      </text>
    </comment>
    <comment ref="Q87" authorId="1" shapeId="0" xr:uid="{5D295FCE-DBAB-1E4E-ABDA-463640F60A58}">
      <text>
        <r>
          <rPr>
            <b/>
            <sz val="10"/>
            <color rgb="FF000000"/>
            <rFont val="Tahoma"/>
            <family val="2"/>
          </rPr>
          <t>Karen Thorpe: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Liminex, Savvas</t>
        </r>
      </text>
    </comment>
  </commentList>
</comments>
</file>

<file path=xl/sharedStrings.xml><?xml version="1.0" encoding="utf-8"?>
<sst xmlns="http://schemas.openxmlformats.org/spreadsheetml/2006/main" count="546" uniqueCount="358">
  <si>
    <t>Year To Date</t>
  </si>
  <si>
    <t>Fiscal Yr</t>
  </si>
  <si>
    <t>Great Oaks Charter School</t>
  </si>
  <si>
    <t>Principal</t>
  </si>
  <si>
    <t>Fund</t>
  </si>
  <si>
    <t>Appr Code</t>
  </si>
  <si>
    <t>Description</t>
  </si>
  <si>
    <t>Avail funds</t>
  </si>
  <si>
    <t>Encumbrances</t>
  </si>
  <si>
    <t>Expenditures</t>
  </si>
  <si>
    <t>Balance</t>
  </si>
  <si>
    <t>End Date</t>
  </si>
  <si>
    <t>Teachers (regular)</t>
  </si>
  <si>
    <t>Nurse</t>
  </si>
  <si>
    <t>05235</t>
  </si>
  <si>
    <t>Technology Block Grant</t>
  </si>
  <si>
    <t>Clerical</t>
  </si>
  <si>
    <t>1 Month Actual and 11 Months Projected</t>
  </si>
  <si>
    <t>05213</t>
  </si>
  <si>
    <t>Operations</t>
  </si>
  <si>
    <t>Custodian</t>
  </si>
  <si>
    <t>Director</t>
  </si>
  <si>
    <t>05215</t>
  </si>
  <si>
    <t>2 Months Actual and 10 Months Projected</t>
  </si>
  <si>
    <t>Hourly Salaries</t>
  </si>
  <si>
    <t>Current Month</t>
  </si>
  <si>
    <t>Educ Acountability</t>
  </si>
  <si>
    <t>Substitute Teachers</t>
  </si>
  <si>
    <t>Paraprofessionals</t>
  </si>
  <si>
    <t>05289</t>
  </si>
  <si>
    <t>Ed Sustainment Fund</t>
  </si>
  <si>
    <t>3 Months Actual and 9 Months Projected</t>
  </si>
  <si>
    <t>ESTIMATED</t>
  </si>
  <si>
    <t>Total State Fund</t>
  </si>
  <si>
    <t>EPER - Extra Curricular</t>
  </si>
  <si>
    <t>Summer School</t>
  </si>
  <si>
    <t>Caridad</t>
  </si>
  <si>
    <t>Browne</t>
  </si>
  <si>
    <t>4 Months Actual and 8 Months Projected</t>
  </si>
  <si>
    <t>Appropriation/Account Code</t>
  </si>
  <si>
    <t>Uridiales</t>
  </si>
  <si>
    <t>Preliminary Budget FY20</t>
  </si>
  <si>
    <t>Barry</t>
  </si>
  <si>
    <t>005</t>
  </si>
  <si>
    <t>98260</t>
  </si>
  <si>
    <t>Charter - Start Up</t>
  </si>
  <si>
    <t>Teacher</t>
  </si>
  <si>
    <t>Current</t>
  </si>
  <si>
    <t>Revised</t>
  </si>
  <si>
    <t>Health</t>
  </si>
  <si>
    <t>Bickel</t>
  </si>
  <si>
    <t>B, 0</t>
  </si>
  <si>
    <t>98000</t>
  </si>
  <si>
    <t>Local Funds</t>
  </si>
  <si>
    <t>Received or Spent</t>
  </si>
  <si>
    <t>% Spent to Date</t>
  </si>
  <si>
    <t>Committed or to be Received</t>
  </si>
  <si>
    <t>Cardona</t>
  </si>
  <si>
    <t>B, 1</t>
  </si>
  <si>
    <t>Summer Encumbrance</t>
  </si>
  <si>
    <t>Available Balance</t>
  </si>
  <si>
    <t>91100</t>
  </si>
  <si>
    <t>Total</t>
  </si>
  <si>
    <t>Lunch Money</t>
  </si>
  <si>
    <t>*</t>
  </si>
  <si>
    <t>98159</t>
  </si>
  <si>
    <t>Donations</t>
  </si>
  <si>
    <t>Eppinger</t>
  </si>
  <si>
    <t>M, 11</t>
  </si>
  <si>
    <t>Variance Original vs Estimated</t>
  </si>
  <si>
    <t>Flores</t>
  </si>
  <si>
    <t>Total Local Fund</t>
  </si>
  <si>
    <t>Le</t>
  </si>
  <si>
    <t>M, 0</t>
  </si>
  <si>
    <t>Martinez</t>
  </si>
  <si>
    <t>M, 9</t>
  </si>
  <si>
    <t>Otero</t>
  </si>
  <si>
    <t>Pasquale</t>
  </si>
  <si>
    <t>M, 1</t>
  </si>
  <si>
    <t>505</t>
  </si>
  <si>
    <t>40114</t>
  </si>
  <si>
    <t>Title II</t>
  </si>
  <si>
    <t>Quackenbush</t>
  </si>
  <si>
    <t>Smith</t>
  </si>
  <si>
    <t>M15, 5</t>
  </si>
  <si>
    <t>Torres</t>
  </si>
  <si>
    <t>B, 5</t>
  </si>
  <si>
    <t>40554</t>
  </si>
  <si>
    <t>Title I</t>
  </si>
  <si>
    <t>Wilsey</t>
  </si>
  <si>
    <t>M, 8</t>
  </si>
  <si>
    <t>40564</t>
  </si>
  <si>
    <t>IDEA - B</t>
  </si>
  <si>
    <t>Robertson</t>
  </si>
  <si>
    <t>term</t>
  </si>
  <si>
    <t>All Funds Total</t>
  </si>
  <si>
    <t>Arroyo</t>
  </si>
  <si>
    <t>Aud Diaz</t>
  </si>
  <si>
    <t>New</t>
  </si>
  <si>
    <t>Payment from Academia checkbook for EL fees (not in FSF)</t>
  </si>
  <si>
    <t>Total Expenditures as of December 31, 2014</t>
  </si>
  <si>
    <t>Secretary</t>
  </si>
  <si>
    <t>Paras</t>
  </si>
  <si>
    <t>5 Months Actual and 7 Months Projected</t>
  </si>
  <si>
    <t>6 Months Actual and 6 Months Projected</t>
  </si>
  <si>
    <t>Enrollment</t>
  </si>
  <si>
    <t>7 Months Actual and 5 Months Projected</t>
  </si>
  <si>
    <t>REVENUES</t>
  </si>
  <si>
    <t>8 Months Actual and 4 Months Projected</t>
  </si>
  <si>
    <t>9 Months Actual and 3 Months Projected</t>
  </si>
  <si>
    <t>State Appropriation - Operations</t>
  </si>
  <si>
    <t>Summary by Fiscal Year - Fund - Appropriation</t>
  </si>
  <si>
    <t>Prior Yr Expenditures</t>
  </si>
  <si>
    <t xml:space="preserve">OPERATIONS  </t>
  </si>
  <si>
    <t>10 Months Actual and 2 Months Projected</t>
  </si>
  <si>
    <t>Education Sustainment Fund</t>
  </si>
  <si>
    <t>10171</t>
  </si>
  <si>
    <t>School Safety &amp; Security</t>
  </si>
  <si>
    <t>05302</t>
  </si>
  <si>
    <t>11 Months Actual and 1 Months Projected</t>
  </si>
  <si>
    <t>Tech Block Grant</t>
  </si>
  <si>
    <t>05297</t>
  </si>
  <si>
    <t>Education Opportunity</t>
  </si>
  <si>
    <t>50022</t>
  </si>
  <si>
    <t>MCI</t>
  </si>
  <si>
    <t>12 Months Actual</t>
  </si>
  <si>
    <t>School Safety &amp; Security Grant</t>
  </si>
  <si>
    <t>Educator Participation &amp; Other State</t>
  </si>
  <si>
    <t>511</t>
  </si>
  <si>
    <t>IASA Title II</t>
  </si>
  <si>
    <t>Educational Opportunity</t>
  </si>
  <si>
    <t>2019</t>
  </si>
  <si>
    <t>2020</t>
  </si>
  <si>
    <t xml:space="preserve">School District Local Funds Transfer &amp; Interest </t>
  </si>
  <si>
    <t>40240</t>
  </si>
  <si>
    <t>21st Century Learning</t>
  </si>
  <si>
    <t>40532</t>
  </si>
  <si>
    <t>Title IV</t>
  </si>
  <si>
    <t>IDEA B</t>
  </si>
  <si>
    <t>41015</t>
  </si>
  <si>
    <t>CSP</t>
  </si>
  <si>
    <t>Total Federal Funds</t>
  </si>
  <si>
    <t>Budget Projections</t>
  </si>
  <si>
    <t>12 Months Projected</t>
  </si>
  <si>
    <t>Projected only</t>
  </si>
  <si>
    <t>Federal Funds</t>
  </si>
  <si>
    <t>011</t>
  </si>
  <si>
    <t xml:space="preserve">Local Funds Transfer &amp; Interest </t>
  </si>
  <si>
    <t>98034</t>
  </si>
  <si>
    <t>Other Local Revenue</t>
  </si>
  <si>
    <t>98220</t>
  </si>
  <si>
    <t>Fundraising</t>
  </si>
  <si>
    <t>98231</t>
  </si>
  <si>
    <t>School Activities</t>
  </si>
  <si>
    <t>Contributions</t>
  </si>
  <si>
    <t>Charter Start Up (CSP)</t>
  </si>
  <si>
    <t>99150</t>
  </si>
  <si>
    <t xml:space="preserve">  </t>
  </si>
  <si>
    <t>Prior Year Carryover</t>
  </si>
  <si>
    <t xml:space="preserve">  TOTAL REVENUES</t>
  </si>
  <si>
    <t>Monthly Financial Statement</t>
  </si>
  <si>
    <t>General Operating Budget</t>
  </si>
  <si>
    <t>REVENUE</t>
  </si>
  <si>
    <t>State Funds</t>
  </si>
  <si>
    <t>EXPENDITURES</t>
  </si>
  <si>
    <t>Receipt to Date</t>
  </si>
  <si>
    <t>% Received</t>
  </si>
  <si>
    <t>Over/(Under) Budget</t>
  </si>
  <si>
    <t>Administration</t>
  </si>
  <si>
    <t>51165/51151/51157</t>
  </si>
  <si>
    <t>Operations (05213)</t>
  </si>
  <si>
    <t>Education Sustainment Fund (05289)</t>
  </si>
  <si>
    <t>Teachers (regular)/Para/Subs</t>
  </si>
  <si>
    <t>Tech Block Grant (05235)</t>
  </si>
  <si>
    <t>51100/51004/51005/51017</t>
  </si>
  <si>
    <t>School Safety &amp; Security Grant &amp; Other State</t>
  </si>
  <si>
    <t>Educational Opportunity (05297)</t>
  </si>
  <si>
    <t>MCI (50022)</t>
  </si>
  <si>
    <t>Total State Funds</t>
  </si>
  <si>
    <t xml:space="preserve"> </t>
  </si>
  <si>
    <t>School District Local Funds Transfer &amp; Interest  (98000)</t>
  </si>
  <si>
    <t>Total Salaries</t>
  </si>
  <si>
    <t>Contributions (98159)</t>
  </si>
  <si>
    <t>Other</t>
  </si>
  <si>
    <t>Carryover</t>
  </si>
  <si>
    <t>Health Insurance/Employer Share</t>
  </si>
  <si>
    <t>Operating Budget Description</t>
  </si>
  <si>
    <t>Percentage 
Obligated</t>
  </si>
  <si>
    <t>Workmen's Compensation (1.55%)</t>
  </si>
  <si>
    <t>Salaries and Benefits</t>
  </si>
  <si>
    <t>Great Oaks - Wilmington        2020 Budget vs Actuals</t>
  </si>
  <si>
    <t>Final Budget 2019</t>
  </si>
  <si>
    <t>Received/Spent To Date</t>
  </si>
  <si>
    <t>%</t>
  </si>
  <si>
    <t>Remaining</t>
  </si>
  <si>
    <t>Utilities</t>
  </si>
  <si>
    <t>Social Security/Employer Share (6.2%)</t>
  </si>
  <si>
    <t xml:space="preserve">  Per Pupil Revenues</t>
  </si>
  <si>
    <t>Facility-Rent</t>
  </si>
  <si>
    <t>Transportation</t>
  </si>
  <si>
    <t xml:space="preserve">  State Funding</t>
  </si>
  <si>
    <t xml:space="preserve">  Federal Funding</t>
  </si>
  <si>
    <t>Contractor--Food Service</t>
  </si>
  <si>
    <t>Professional Services</t>
  </si>
  <si>
    <t>Unemployment Insurance (.11%)</t>
  </si>
  <si>
    <t xml:space="preserve">  Grants/Contributions</t>
  </si>
  <si>
    <t>Education Services</t>
  </si>
  <si>
    <t xml:space="preserve">  Other Revenue</t>
  </si>
  <si>
    <t>Textbooks and Instructional Supplies</t>
  </si>
  <si>
    <t>TOTAL REVENUES</t>
  </si>
  <si>
    <t>Medicare/Employer Share (1.45%)</t>
  </si>
  <si>
    <t>Building Maintenance and Custodial Services</t>
  </si>
  <si>
    <t>EXPENSES</t>
  </si>
  <si>
    <t>Personnel</t>
  </si>
  <si>
    <t xml:space="preserve">  Employee Salaries</t>
  </si>
  <si>
    <t>Other Expenses</t>
  </si>
  <si>
    <t xml:space="preserve">  Payroll Taxes</t>
  </si>
  <si>
    <t>Total Other Employment Costs (20)</t>
  </si>
  <si>
    <t xml:space="preserve">  Health/Dental</t>
  </si>
  <si>
    <t>Contingency</t>
  </si>
  <si>
    <t xml:space="preserve">  Retirement</t>
  </si>
  <si>
    <t xml:space="preserve">    Subtotal Personnel</t>
  </si>
  <si>
    <t>Total Travel (40)</t>
  </si>
  <si>
    <t>S</t>
  </si>
  <si>
    <t>Non-Personnel</t>
  </si>
  <si>
    <t>Total Operating Budget</t>
  </si>
  <si>
    <t xml:space="preserve">  Professional/Contracted</t>
  </si>
  <si>
    <t xml:space="preserve">  School Operations</t>
  </si>
  <si>
    <t xml:space="preserve">  Facilities Oper/Maint</t>
  </si>
  <si>
    <t xml:space="preserve">  Tutor Expenses</t>
  </si>
  <si>
    <t>Surplus</t>
  </si>
  <si>
    <t xml:space="preserve">    Subtotal Non-Personnel</t>
  </si>
  <si>
    <t>TOTAL EXPENSES</t>
  </si>
  <si>
    <t>Other Professional Service/Curriculum</t>
  </si>
  <si>
    <t>P</t>
  </si>
  <si>
    <t>Surplus After Encumbrances</t>
  </si>
  <si>
    <t>Add:  Depreciation/Amortization</t>
  </si>
  <si>
    <t>Less:  Capital Purchases</t>
  </si>
  <si>
    <t>NET SURPLUS (DEFICIT) - CASH BASIS</t>
  </si>
  <si>
    <t>ENDING CASH SURPLUS (DEFICIT)</t>
  </si>
  <si>
    <t>NET SURPLUS (DEFICIT) - ACCRUAL BASIS</t>
  </si>
  <si>
    <t>CASH COST PER PUPIL</t>
  </si>
  <si>
    <t>Management Fees</t>
  </si>
  <si>
    <t>PHILANTHROPHY PER PUPIL</t>
  </si>
  <si>
    <t>Med Related Services (Psychologists, Therapists)</t>
  </si>
  <si>
    <t>55030, 55031</t>
  </si>
  <si>
    <t>Educational Assistance/Back to Basics</t>
  </si>
  <si>
    <t>Legal Services</t>
  </si>
  <si>
    <t>Substitute Teachers &amp; One on One Para</t>
  </si>
  <si>
    <t>Admin Fees - Tutors</t>
  </si>
  <si>
    <t>Postage</t>
  </si>
  <si>
    <t>Telephone Services/Communication</t>
  </si>
  <si>
    <t>F</t>
  </si>
  <si>
    <t>Printing &amp; Binding</t>
  </si>
  <si>
    <t>T</t>
  </si>
  <si>
    <t>Computer Services</t>
  </si>
  <si>
    <t>Food Service</t>
  </si>
  <si>
    <t>Tutor Expenses</t>
  </si>
  <si>
    <t>Repairs &amp; Maintenance</t>
  </si>
  <si>
    <t>55506/55500</t>
  </si>
  <si>
    <t>Insurance (Bldg &amp; Contents)/Umbrella Liability</t>
  </si>
  <si>
    <t>Rent</t>
  </si>
  <si>
    <t>Equipment Rental</t>
  </si>
  <si>
    <t>Buses - pupil transportation in state</t>
  </si>
  <si>
    <t>Tuition Reimbursement</t>
  </si>
  <si>
    <t>Special Placements</t>
  </si>
  <si>
    <t>Advertising/Student Recruitment</t>
  </si>
  <si>
    <t>Assoc Due&amp;Conference/Springboard &amp; Camp Fees</t>
  </si>
  <si>
    <t>Drivers Ed Vehicle</t>
  </si>
  <si>
    <t>55641/55314</t>
  </si>
  <si>
    <t>Student Activities</t>
  </si>
  <si>
    <t>55314/55647</t>
  </si>
  <si>
    <t>Miscellaneous/Moving</t>
  </si>
  <si>
    <t>15000/55721</t>
  </si>
  <si>
    <t>Training</t>
  </si>
  <si>
    <t>Total Contracted Services (50)</t>
  </si>
  <si>
    <t>Admin Supplies</t>
  </si>
  <si>
    <t>56010/56000</t>
  </si>
  <si>
    <t>Promo Supplies</t>
  </si>
  <si>
    <t>Operating Supplies</t>
  </si>
  <si>
    <t>Food</t>
  </si>
  <si>
    <t>Clothing &amp; Linens</t>
  </si>
  <si>
    <t>Custodial Supplies</t>
  </si>
  <si>
    <t>Computer Supplies</t>
  </si>
  <si>
    <t>Instructional Supplies</t>
  </si>
  <si>
    <t>Athletic Supplies</t>
  </si>
  <si>
    <t>Vehicle Expenses</t>
  </si>
  <si>
    <t>Textbooks</t>
  </si>
  <si>
    <t>Medical Supplies/Medicines/Health Aides</t>
  </si>
  <si>
    <t>Institutional Equipment</t>
  </si>
  <si>
    <t>Staff Appreciation</t>
  </si>
  <si>
    <t>Total Supplies/Materials (60)</t>
  </si>
  <si>
    <t>Renovation</t>
  </si>
  <si>
    <t>Other (Summer Encumbrances)</t>
  </si>
  <si>
    <t>Furniture &amp; Fixtures</t>
  </si>
  <si>
    <t>C</t>
  </si>
  <si>
    <t>Contingency Reserve (2% of state and local funds)</t>
  </si>
  <si>
    <t>TOTAL EXPENDITURES</t>
  </si>
  <si>
    <t>SURPLUS/(DEFICIT)</t>
  </si>
  <si>
    <t>NET SURPLUS/(DEFICIT)</t>
  </si>
  <si>
    <t>Cash Balance</t>
  </si>
  <si>
    <t>Cash Balance Prior to State Required Contingency</t>
  </si>
  <si>
    <t>Projected Annual (Deficit)/Surplus</t>
  </si>
  <si>
    <t>59970</t>
  </si>
  <si>
    <t>99198</t>
  </si>
  <si>
    <t>Payroll Exp Reimb</t>
  </si>
  <si>
    <t>Math Coaches Initiative</t>
  </si>
  <si>
    <t>As of July 31, 2020</t>
  </si>
  <si>
    <t>As of August 31, 2020</t>
  </si>
  <si>
    <t>As of September 30, 2020</t>
  </si>
  <si>
    <t>As of October 31, 2020</t>
  </si>
  <si>
    <t>As of November 30, 2020</t>
  </si>
  <si>
    <t>As of December 31, 2020</t>
  </si>
  <si>
    <t>As of January 31, 2021</t>
  </si>
  <si>
    <t>As of February 28, 2021</t>
  </si>
  <si>
    <t>As of March 31, 2021</t>
  </si>
  <si>
    <t>As of April 30, 2021</t>
  </si>
  <si>
    <t>As of May 31, 2021</t>
  </si>
  <si>
    <t>As of June 30, 2021</t>
  </si>
  <si>
    <t>Para</t>
  </si>
  <si>
    <t>EPER/Stipends</t>
  </si>
  <si>
    <t>Pensions/Employer Share (22.95%)</t>
  </si>
  <si>
    <t>05177</t>
  </si>
  <si>
    <t>Charter Transportation</t>
  </si>
  <si>
    <t>05317</t>
  </si>
  <si>
    <t>Child Safety Awareness</t>
  </si>
  <si>
    <t>2021</t>
  </si>
  <si>
    <t>Career Tech</t>
  </si>
  <si>
    <t>EXC - FY21 CSD SETTMEMENT</t>
  </si>
  <si>
    <t>NOT UPDATED FOR 2021</t>
  </si>
  <si>
    <t>TOTAL 2021</t>
  </si>
  <si>
    <t>40730</t>
  </si>
  <si>
    <t>School Emergency Relief</t>
  </si>
  <si>
    <t>`</t>
  </si>
  <si>
    <t>08914</t>
  </si>
  <si>
    <t>05105</t>
  </si>
  <si>
    <t>Educator Prep Partners</t>
  </si>
  <si>
    <t>05299</t>
  </si>
  <si>
    <t>School Transfer</t>
  </si>
  <si>
    <t>Additional Items Instructional Service</t>
  </si>
  <si>
    <t>Other &amp; School Activities/Americorps</t>
  </si>
  <si>
    <t>Final Budget FY20</t>
  </si>
  <si>
    <t>NCC DL</t>
  </si>
  <si>
    <t>99804</t>
  </si>
  <si>
    <t>2020 - 2021 Final Budget</t>
  </si>
  <si>
    <t>Final                  FY 21 Budget</t>
  </si>
  <si>
    <t>Final Budget</t>
  </si>
  <si>
    <t>05288</t>
  </si>
  <si>
    <t xml:space="preserve">Operations  </t>
  </si>
  <si>
    <t>6/30/21</t>
  </si>
  <si>
    <t>98162</t>
  </si>
  <si>
    <t>CPR Instruction</t>
  </si>
  <si>
    <t>40768</t>
  </si>
  <si>
    <t>GEER</t>
  </si>
  <si>
    <t>05181</t>
  </si>
  <si>
    <t>Unique Alternatives</t>
  </si>
  <si>
    <t>05316</t>
  </si>
  <si>
    <t>Crirical Needs Scholarship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</si>
</sst>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&quot;$&quot;#,##0_);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"/>
    <numFmt numFmtId="165" formatCode="&quot;$&quot;#,##0.00"/>
    <numFmt numFmtId="166" formatCode="0.0%"/>
    <numFmt numFmtId="167" formatCode="#,##0.0_);\(#,##0.0\)"/>
    <numFmt numFmtId="168" formatCode="[$-409]mmmm\-yy"/>
  </numFmts>
  <fonts count="23" x14ac:knownFonts="1">
    <font>
      <sz val="11"/>
      <color theme="1"/>
      <name val="Arial"/>
    </font>
    <font>
      <b/>
      <sz val="9"/>
      <color rgb="FF000000"/>
      <name val="Arial"/>
      <family val="2"/>
    </font>
    <font>
      <b/>
      <u/>
      <sz val="12"/>
      <color rgb="FF000000"/>
      <name val="Times New Roman"/>
      <family val="1"/>
    </font>
    <font>
      <sz val="11"/>
      <color theme="1"/>
      <name val="Calibri"/>
      <family val="2"/>
    </font>
    <font>
      <sz val="9"/>
      <color rgb="FF000000"/>
      <name val="Arial"/>
      <family val="2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4"/>
      <color theme="1"/>
      <name val="Calibri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u/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8"/>
      <name val="Arial"/>
      <family val="2"/>
    </font>
    <font>
      <sz val="11"/>
      <color rgb="FF000000"/>
      <name val="Arial"/>
      <family val="2"/>
    </font>
    <font>
      <sz val="18"/>
      <color theme="1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00"/>
        <bgColor rgb="FFFFFF00"/>
      </patternFill>
    </fill>
    <fill>
      <patternFill patternType="solid">
        <fgColor rgb="FFF2DBDB"/>
        <bgColor rgb="FFF2DBDB"/>
      </patternFill>
    </fill>
    <fill>
      <patternFill patternType="solid">
        <fgColor rgb="FFBFBFBF"/>
        <bgColor rgb="FFBFBFBF"/>
      </patternFill>
    </fill>
    <fill>
      <patternFill patternType="solid">
        <fgColor rgb="FF95B3D7"/>
        <bgColor rgb="FF95B3D7"/>
      </patternFill>
    </fill>
    <fill>
      <patternFill patternType="solid">
        <fgColor theme="0"/>
        <bgColor theme="0"/>
      </patternFill>
    </fill>
    <fill>
      <patternFill patternType="solid">
        <fgColor rgb="FFD6E3BC"/>
        <bgColor rgb="FFD6E3BC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8">
    <xf numFmtId="0" fontId="0" fillId="0" borderId="0" xfId="0" applyFont="1" applyAlignment="1"/>
    <xf numFmtId="0" fontId="1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49" fontId="4" fillId="2" borderId="1" xfId="0" applyNumberFormat="1" applyFont="1" applyFill="1" applyBorder="1" applyAlignment="1">
      <alignment horizontal="center" wrapText="1"/>
    </xf>
    <xf numFmtId="0" fontId="4" fillId="0" borderId="1" xfId="0" applyFont="1" applyBorder="1"/>
    <xf numFmtId="4" fontId="4" fillId="2" borderId="1" xfId="0" applyNumberFormat="1" applyFont="1" applyFill="1" applyBorder="1" applyAlignment="1">
      <alignment horizontal="center" wrapText="1"/>
    </xf>
    <xf numFmtId="0" fontId="4" fillId="0" borderId="0" xfId="0" applyFont="1"/>
    <xf numFmtId="164" fontId="4" fillId="0" borderId="0" xfId="0" applyNumberFormat="1" applyFont="1"/>
    <xf numFmtId="49" fontId="6" fillId="0" borderId="0" xfId="0" applyNumberFormat="1" applyFont="1" applyAlignment="1">
      <alignment horizontal="right"/>
    </xf>
    <xf numFmtId="4" fontId="6" fillId="0" borderId="0" xfId="0" applyNumberFormat="1" applyFont="1"/>
    <xf numFmtId="0" fontId="6" fillId="0" borderId="0" xfId="0" applyFont="1" applyAlignment="1">
      <alignment horizontal="center"/>
    </xf>
    <xf numFmtId="49" fontId="6" fillId="0" borderId="0" xfId="0" applyNumberFormat="1" applyFont="1" applyAlignment="1">
      <alignment horizontal="center"/>
    </xf>
    <xf numFmtId="14" fontId="6" fillId="0" borderId="0" xfId="0" applyNumberFormat="1" applyFont="1"/>
    <xf numFmtId="49" fontId="6" fillId="0" borderId="0" xfId="0" quotePrefix="1" applyNumberFormat="1" applyFont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0" fontId="7" fillId="0" borderId="5" xfId="0" applyFont="1" applyBorder="1"/>
    <xf numFmtId="0" fontId="1" fillId="2" borderId="1" xfId="0" applyFont="1" applyFill="1" applyBorder="1" applyAlignment="1">
      <alignment horizontal="center" wrapText="1"/>
    </xf>
    <xf numFmtId="4" fontId="7" fillId="0" borderId="5" xfId="0" applyNumberFormat="1" applyFont="1" applyBorder="1"/>
    <xf numFmtId="0" fontId="1" fillId="5" borderId="1" xfId="0" applyFont="1" applyFill="1" applyBorder="1" applyAlignment="1">
      <alignment horizontal="center" wrapText="1"/>
    </xf>
    <xf numFmtId="3" fontId="6" fillId="0" borderId="0" xfId="0" applyNumberFormat="1" applyFont="1"/>
    <xf numFmtId="44" fontId="1" fillId="5" borderId="1" xfId="0" applyNumberFormat="1" applyFont="1" applyFill="1" applyBorder="1" applyAlignment="1">
      <alignment horizontal="center" wrapText="1"/>
    </xf>
    <xf numFmtId="0" fontId="1" fillId="5" borderId="6" xfId="0" applyFont="1" applyFill="1" applyBorder="1"/>
    <xf numFmtId="4" fontId="7" fillId="0" borderId="0" xfId="0" applyNumberFormat="1" applyFont="1"/>
    <xf numFmtId="0" fontId="7" fillId="0" borderId="7" xfId="0" applyFont="1" applyBorder="1"/>
    <xf numFmtId="4" fontId="7" fillId="0" borderId="7" xfId="0" applyNumberFormat="1" applyFont="1" applyBorder="1"/>
    <xf numFmtId="49" fontId="6" fillId="0" borderId="0" xfId="0" applyNumberFormat="1" applyFont="1" applyAlignment="1">
      <alignment horizontal="left"/>
    </xf>
    <xf numFmtId="4" fontId="6" fillId="0" borderId="8" xfId="0" applyNumberFormat="1" applyFont="1" applyBorder="1"/>
    <xf numFmtId="17" fontId="1" fillId="5" borderId="1" xfId="0" applyNumberFormat="1" applyFont="1" applyFill="1" applyBorder="1" applyAlignment="1">
      <alignment horizontal="center" wrapText="1"/>
    </xf>
    <xf numFmtId="49" fontId="6" fillId="0" borderId="0" xfId="0" applyNumberFormat="1" applyFont="1"/>
    <xf numFmtId="17" fontId="1" fillId="5" borderId="1" xfId="0" applyNumberFormat="1" applyFont="1" applyFill="1" applyBorder="1" applyAlignment="1">
      <alignment horizontal="center"/>
    </xf>
    <xf numFmtId="7" fontId="4" fillId="0" borderId="0" xfId="0" applyNumberFormat="1" applyFont="1"/>
    <xf numFmtId="7" fontId="1" fillId="0" borderId="0" xfId="0" applyNumberFormat="1" applyFont="1"/>
    <xf numFmtId="37" fontId="4" fillId="0" borderId="0" xfId="0" applyNumberFormat="1" applyFont="1" applyAlignment="1">
      <alignment horizontal="center"/>
    </xf>
    <xf numFmtId="7" fontId="4" fillId="4" borderId="2" xfId="0" applyNumberFormat="1" applyFont="1" applyFill="1" applyBorder="1"/>
    <xf numFmtId="0" fontId="1" fillId="6" borderId="9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left"/>
    </xf>
    <xf numFmtId="0" fontId="1" fillId="6" borderId="11" xfId="0" applyFont="1" applyFill="1" applyBorder="1" applyAlignment="1">
      <alignment horizontal="left"/>
    </xf>
    <xf numFmtId="0" fontId="4" fillId="3" borderId="2" xfId="0" applyFont="1" applyFill="1" applyBorder="1"/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10" fontId="4" fillId="4" borderId="2" xfId="0" applyNumberFormat="1" applyFont="1" applyFill="1" applyBorder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7" fontId="4" fillId="7" borderId="2" xfId="0" applyNumberFormat="1" applyFont="1" applyFill="1" applyBorder="1"/>
    <xf numFmtId="165" fontId="4" fillId="7" borderId="2" xfId="0" applyNumberFormat="1" applyFont="1" applyFill="1" applyBorder="1"/>
    <xf numFmtId="14" fontId="4" fillId="0" borderId="0" xfId="0" applyNumberFormat="1" applyFont="1" applyAlignment="1">
      <alignment horizontal="center"/>
    </xf>
    <xf numFmtId="49" fontId="4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left"/>
    </xf>
    <xf numFmtId="165" fontId="1" fillId="7" borderId="12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43" fontId="4" fillId="7" borderId="2" xfId="0" applyNumberFormat="1" applyFont="1" applyFill="1" applyBorder="1"/>
    <xf numFmtId="7" fontId="6" fillId="0" borderId="0" xfId="0" applyNumberFormat="1" applyFont="1"/>
    <xf numFmtId="7" fontId="1" fillId="7" borderId="2" xfId="0" applyNumberFormat="1" applyFont="1" applyFill="1" applyBorder="1"/>
    <xf numFmtId="165" fontId="6" fillId="0" borderId="0" xfId="0" applyNumberFormat="1" applyFont="1"/>
    <xf numFmtId="165" fontId="4" fillId="7" borderId="2" xfId="0" applyNumberFormat="1" applyFont="1" applyFill="1" applyBorder="1" applyAlignment="1">
      <alignment horizontal="right"/>
    </xf>
    <xf numFmtId="165" fontId="1" fillId="0" borderId="5" xfId="0" applyNumberFormat="1" applyFont="1" applyBorder="1"/>
    <xf numFmtId="43" fontId="4" fillId="0" borderId="0" xfId="0" applyNumberFormat="1" applyFont="1"/>
    <xf numFmtId="7" fontId="1" fillId="0" borderId="5" xfId="0" applyNumberFormat="1" applyFont="1" applyBorder="1"/>
    <xf numFmtId="7" fontId="1" fillId="0" borderId="13" xfId="0" applyNumberFormat="1" applyFont="1" applyBorder="1"/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3" fontId="6" fillId="0" borderId="0" xfId="0" applyNumberFormat="1" applyFont="1"/>
    <xf numFmtId="7" fontId="7" fillId="0" borderId="0" xfId="0" applyNumberFormat="1" applyFont="1"/>
    <xf numFmtId="0" fontId="1" fillId="8" borderId="2" xfId="0" applyFont="1" applyFill="1" applyBorder="1"/>
    <xf numFmtId="7" fontId="1" fillId="8" borderId="2" xfId="0" applyNumberFormat="1" applyFont="1" applyFill="1" applyBorder="1"/>
    <xf numFmtId="0" fontId="10" fillId="0" borderId="0" xfId="0" applyFont="1" applyAlignment="1">
      <alignment horizontal="center"/>
    </xf>
    <xf numFmtId="0" fontId="11" fillId="0" borderId="0" xfId="0" applyFont="1"/>
    <xf numFmtId="10" fontId="1" fillId="8" borderId="2" xfId="0" applyNumberFormat="1" applyFont="1" applyFill="1" applyBorder="1"/>
    <xf numFmtId="0" fontId="12" fillId="0" borderId="0" xfId="0" applyFont="1" applyAlignment="1">
      <alignment horizontal="center"/>
    </xf>
    <xf numFmtId="43" fontId="11" fillId="0" borderId="0" xfId="0" applyNumberFormat="1" applyFont="1" applyAlignment="1">
      <alignment horizontal="right"/>
    </xf>
    <xf numFmtId="43" fontId="11" fillId="0" borderId="0" xfId="0" applyNumberFormat="1" applyFont="1"/>
    <xf numFmtId="0" fontId="12" fillId="0" borderId="0" xfId="0" applyFont="1"/>
    <xf numFmtId="43" fontId="12" fillId="0" borderId="0" xfId="0" applyNumberFormat="1" applyFont="1"/>
    <xf numFmtId="43" fontId="12" fillId="0" borderId="0" xfId="0" applyNumberFormat="1" applyFont="1" applyAlignment="1">
      <alignment horizontal="center" vertical="center" wrapText="1"/>
    </xf>
    <xf numFmtId="43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66" fontId="11" fillId="0" borderId="0" xfId="0" applyNumberFormat="1" applyFont="1"/>
    <xf numFmtId="7" fontId="13" fillId="0" borderId="0" xfId="0" applyNumberFormat="1" applyFont="1"/>
    <xf numFmtId="7" fontId="11" fillId="7" borderId="2" xfId="0" applyNumberFormat="1" applyFont="1" applyFill="1" applyBorder="1" applyAlignment="1">
      <alignment horizontal="right"/>
    </xf>
    <xf numFmtId="167" fontId="4" fillId="0" borderId="0" xfId="0" applyNumberFormat="1" applyFont="1"/>
    <xf numFmtId="0" fontId="12" fillId="0" borderId="0" xfId="0" applyFont="1" applyAlignment="1">
      <alignment horizontal="left" vertical="top"/>
    </xf>
    <xf numFmtId="166" fontId="11" fillId="0" borderId="0" xfId="0" applyNumberFormat="1" applyFont="1" applyAlignment="1">
      <alignment horizontal="center"/>
    </xf>
    <xf numFmtId="7" fontId="11" fillId="0" borderId="0" xfId="0" applyNumberFormat="1" applyFont="1" applyAlignment="1">
      <alignment horizontal="right"/>
    </xf>
    <xf numFmtId="7" fontId="11" fillId="7" borderId="12" xfId="0" applyNumberFormat="1" applyFont="1" applyFill="1" applyBorder="1" applyAlignment="1">
      <alignment horizontal="right"/>
    </xf>
    <xf numFmtId="0" fontId="12" fillId="0" borderId="5" xfId="0" applyFont="1" applyBorder="1" applyAlignment="1">
      <alignment horizontal="left" vertical="top"/>
    </xf>
    <xf numFmtId="166" fontId="11" fillId="0" borderId="5" xfId="0" applyNumberFormat="1" applyFont="1" applyBorder="1" applyAlignment="1">
      <alignment horizontal="center"/>
    </xf>
    <xf numFmtId="7" fontId="11" fillId="0" borderId="5" xfId="0" applyNumberFormat="1" applyFont="1" applyBorder="1" applyAlignment="1">
      <alignment horizontal="right"/>
    </xf>
    <xf numFmtId="0" fontId="12" fillId="0" borderId="0" xfId="0" applyFont="1" applyAlignment="1">
      <alignment horizontal="left" vertical="center"/>
    </xf>
    <xf numFmtId="43" fontId="10" fillId="7" borderId="14" xfId="0" applyNumberFormat="1" applyFont="1" applyFill="1" applyBorder="1" applyAlignment="1">
      <alignment horizontal="right"/>
    </xf>
    <xf numFmtId="43" fontId="12" fillId="0" borderId="15" xfId="0" applyNumberFormat="1" applyFont="1" applyBorder="1"/>
    <xf numFmtId="166" fontId="10" fillId="0" borderId="5" xfId="0" applyNumberFormat="1" applyFont="1" applyBorder="1" applyAlignment="1">
      <alignment horizontal="center"/>
    </xf>
    <xf numFmtId="7" fontId="10" fillId="0" borderId="15" xfId="0" applyNumberFormat="1" applyFont="1" applyBorder="1" applyAlignment="1">
      <alignment horizontal="right"/>
    </xf>
    <xf numFmtId="43" fontId="11" fillId="7" borderId="2" xfId="0" applyNumberFormat="1" applyFont="1" applyFill="1" applyBorder="1" applyAlignment="1">
      <alignment horizontal="right"/>
    </xf>
    <xf numFmtId="43" fontId="11" fillId="7" borderId="2" xfId="0" applyNumberFormat="1" applyFont="1" applyFill="1" applyBorder="1"/>
    <xf numFmtId="0" fontId="13" fillId="0" borderId="0" xfId="0" applyFont="1"/>
    <xf numFmtId="0" fontId="11" fillId="0" borderId="0" xfId="0" applyFont="1" applyAlignment="1">
      <alignment horizontal="center"/>
    </xf>
    <xf numFmtId="7" fontId="1" fillId="0" borderId="0" xfId="0" applyNumberFormat="1" applyFont="1" applyAlignment="1">
      <alignment horizontal="center"/>
    </xf>
    <xf numFmtId="7" fontId="1" fillId="4" borderId="2" xfId="0" applyNumberFormat="1" applyFont="1" applyFill="1" applyBorder="1"/>
    <xf numFmtId="10" fontId="1" fillId="4" borderId="2" xfId="0" applyNumberFormat="1" applyFont="1" applyFill="1" applyBorder="1"/>
    <xf numFmtId="7" fontId="11" fillId="0" borderId="5" xfId="0" applyNumberFormat="1" applyFont="1" applyBorder="1"/>
    <xf numFmtId="43" fontId="11" fillId="0" borderId="5" xfId="0" applyNumberFormat="1" applyFont="1" applyBorder="1"/>
    <xf numFmtId="43" fontId="12" fillId="0" borderId="16" xfId="0" applyNumberFormat="1" applyFont="1" applyBorder="1"/>
    <xf numFmtId="7" fontId="12" fillId="0" borderId="16" xfId="0" applyNumberFormat="1" applyFont="1" applyBorder="1"/>
    <xf numFmtId="43" fontId="12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right"/>
    </xf>
    <xf numFmtId="43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43" fontId="12" fillId="0" borderId="0" xfId="0" applyNumberFormat="1" applyFont="1" applyAlignment="1">
      <alignment horizontal="right" vertical="center" wrapText="1"/>
    </xf>
    <xf numFmtId="0" fontId="7" fillId="0" borderId="0" xfId="0" applyFont="1" applyAlignment="1">
      <alignment horizontal="center" wrapText="1"/>
    </xf>
    <xf numFmtId="165" fontId="11" fillId="0" borderId="0" xfId="0" applyNumberFormat="1" applyFont="1"/>
    <xf numFmtId="40" fontId="11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37" fontId="6" fillId="0" borderId="0" xfId="0" applyNumberFormat="1" applyFont="1" applyAlignment="1">
      <alignment horizontal="center"/>
    </xf>
    <xf numFmtId="0" fontId="14" fillId="0" borderId="0" xfId="0" applyFont="1"/>
    <xf numFmtId="5" fontId="6" fillId="0" borderId="0" xfId="0" applyNumberFormat="1" applyFont="1"/>
    <xf numFmtId="10" fontId="6" fillId="0" borderId="0" xfId="0" applyNumberFormat="1" applyFont="1"/>
    <xf numFmtId="5" fontId="6" fillId="0" borderId="8" xfId="0" applyNumberFormat="1" applyFont="1" applyBorder="1"/>
    <xf numFmtId="7" fontId="6" fillId="0" borderId="8" xfId="0" applyNumberFormat="1" applyFont="1" applyBorder="1"/>
    <xf numFmtId="43" fontId="11" fillId="0" borderId="0" xfId="0" applyNumberFormat="1" applyFont="1" applyAlignment="1">
      <alignment horizontal="center"/>
    </xf>
    <xf numFmtId="10" fontId="6" fillId="0" borderId="8" xfId="0" applyNumberFormat="1" applyFont="1" applyBorder="1"/>
    <xf numFmtId="43" fontId="11" fillId="0" borderId="5" xfId="0" applyNumberFormat="1" applyFont="1" applyBorder="1" applyAlignment="1">
      <alignment horizontal="right"/>
    </xf>
    <xf numFmtId="0" fontId="15" fillId="0" borderId="0" xfId="0" applyFont="1"/>
    <xf numFmtId="39" fontId="11" fillId="0" borderId="5" xfId="0" applyNumberFormat="1" applyFont="1" applyBorder="1"/>
    <xf numFmtId="39" fontId="11" fillId="0" borderId="5" xfId="0" applyNumberFormat="1" applyFont="1" applyBorder="1" applyAlignment="1">
      <alignment horizontal="center"/>
    </xf>
    <xf numFmtId="7" fontId="12" fillId="7" borderId="17" xfId="0" applyNumberFormat="1" applyFont="1" applyFill="1" applyBorder="1" applyAlignment="1">
      <alignment horizontal="right"/>
    </xf>
    <xf numFmtId="7" fontId="12" fillId="0" borderId="16" xfId="0" applyNumberFormat="1" applyFont="1" applyBorder="1" applyAlignment="1">
      <alignment horizontal="right"/>
    </xf>
    <xf numFmtId="166" fontId="10" fillId="0" borderId="15" xfId="0" applyNumberFormat="1" applyFont="1" applyBorder="1" applyAlignment="1">
      <alignment horizontal="center"/>
    </xf>
    <xf numFmtId="7" fontId="11" fillId="0" borderId="0" xfId="0" applyNumberFormat="1" applyFont="1"/>
    <xf numFmtId="7" fontId="4" fillId="9" borderId="2" xfId="0" applyNumberFormat="1" applyFont="1" applyFill="1" applyBorder="1"/>
    <xf numFmtId="7" fontId="12" fillId="0" borderId="0" xfId="0" applyNumberFormat="1" applyFont="1" applyAlignment="1">
      <alignment horizontal="right"/>
    </xf>
    <xf numFmtId="7" fontId="6" fillId="0" borderId="18" xfId="0" applyNumberFormat="1" applyFont="1" applyBorder="1"/>
    <xf numFmtId="0" fontId="4" fillId="9" borderId="2" xfId="0" applyFont="1" applyFill="1" applyBorder="1"/>
    <xf numFmtId="10" fontId="6" fillId="0" borderId="18" xfId="0" applyNumberFormat="1" applyFont="1" applyBorder="1"/>
    <xf numFmtId="7" fontId="10" fillId="0" borderId="0" xfId="0" applyNumberFormat="1" applyFont="1"/>
    <xf numFmtId="0" fontId="10" fillId="0" borderId="0" xfId="0" applyFont="1"/>
    <xf numFmtId="0" fontId="1" fillId="7" borderId="2" xfId="0" applyFont="1" applyFill="1" applyBorder="1"/>
    <xf numFmtId="7" fontId="4" fillId="8" borderId="2" xfId="0" applyNumberFormat="1" applyFont="1" applyFill="1" applyBorder="1"/>
    <xf numFmtId="0" fontId="1" fillId="6" borderId="2" xfId="0" applyFont="1" applyFill="1" applyBorder="1"/>
    <xf numFmtId="7" fontId="1" fillId="6" borderId="2" xfId="0" applyNumberFormat="1" applyFont="1" applyFill="1" applyBorder="1"/>
    <xf numFmtId="7" fontId="4" fillId="6" borderId="2" xfId="0" applyNumberFormat="1" applyFont="1" applyFill="1" applyBorder="1"/>
    <xf numFmtId="4" fontId="1" fillId="6" borderId="2" xfId="0" applyNumberFormat="1" applyFont="1" applyFill="1" applyBorder="1"/>
    <xf numFmtId="0" fontId="6" fillId="0" borderId="0" xfId="0" applyFont="1"/>
    <xf numFmtId="165" fontId="1" fillId="0" borderId="0" xfId="0" applyNumberFormat="1" applyFont="1"/>
    <xf numFmtId="4" fontId="1" fillId="0" borderId="0" xfId="0" applyNumberFormat="1" applyFont="1"/>
    <xf numFmtId="165" fontId="16" fillId="0" borderId="0" xfId="0" applyNumberFormat="1" applyFont="1"/>
    <xf numFmtId="165" fontId="7" fillId="0" borderId="0" xfId="0" applyNumberFormat="1" applyFont="1"/>
    <xf numFmtId="0" fontId="4" fillId="10" borderId="2" xfId="0" applyFont="1" applyFill="1" applyBorder="1"/>
    <xf numFmtId="7" fontId="4" fillId="10" borderId="2" xfId="0" applyNumberFormat="1" applyFont="1" applyFill="1" applyBorder="1"/>
    <xf numFmtId="165" fontId="4" fillId="10" borderId="2" xfId="0" applyNumberFormat="1" applyFont="1" applyFill="1" applyBorder="1"/>
    <xf numFmtId="165" fontId="4" fillId="0" borderId="0" xfId="0" applyNumberFormat="1" applyFont="1"/>
    <xf numFmtId="44" fontId="4" fillId="0" borderId="0" xfId="0" applyNumberFormat="1" applyFont="1"/>
    <xf numFmtId="0" fontId="0" fillId="0" borderId="0" xfId="0" applyFont="1" applyAlignment="1"/>
    <xf numFmtId="0" fontId="0" fillId="0" borderId="0" xfId="0" applyFont="1" applyAlignment="1"/>
    <xf numFmtId="7" fontId="4" fillId="0" borderId="0" xfId="0" applyNumberFormat="1" applyFont="1" applyFill="1"/>
    <xf numFmtId="7" fontId="4" fillId="7" borderId="11" xfId="0" applyNumberFormat="1" applyFont="1" applyFill="1" applyBorder="1"/>
    <xf numFmtId="165" fontId="4" fillId="7" borderId="11" xfId="0" applyNumberFormat="1" applyFont="1" applyFill="1" applyBorder="1"/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 wrapText="1"/>
    </xf>
    <xf numFmtId="7" fontId="4" fillId="0" borderId="2" xfId="0" applyNumberFormat="1" applyFont="1" applyFill="1" applyBorder="1"/>
    <xf numFmtId="165" fontId="4" fillId="0" borderId="2" xfId="0" applyNumberFormat="1" applyFont="1" applyFill="1" applyBorder="1"/>
    <xf numFmtId="14" fontId="4" fillId="0" borderId="0" xfId="0" applyNumberFormat="1" applyFont="1" applyFill="1" applyAlignment="1">
      <alignment horizontal="center"/>
    </xf>
    <xf numFmtId="7" fontId="4" fillId="0" borderId="11" xfId="0" applyNumberFormat="1" applyFont="1" applyFill="1" applyBorder="1"/>
    <xf numFmtId="0" fontId="1" fillId="0" borderId="0" xfId="0" applyFont="1" applyFill="1" applyAlignment="1">
      <alignment horizontal="left" wrapText="1"/>
    </xf>
    <xf numFmtId="7" fontId="1" fillId="0" borderId="12" xfId="0" applyNumberFormat="1" applyFont="1" applyFill="1" applyBorder="1"/>
    <xf numFmtId="7" fontId="1" fillId="0" borderId="2" xfId="0" applyNumberFormat="1" applyFont="1" applyFill="1" applyBorder="1"/>
    <xf numFmtId="49" fontId="4" fillId="0" borderId="0" xfId="0" quotePrefix="1" applyNumberFormat="1" applyFont="1" applyFill="1" applyAlignment="1">
      <alignment horizontal="center"/>
    </xf>
    <xf numFmtId="0" fontId="4" fillId="0" borderId="0" xfId="0" applyFont="1" applyFill="1"/>
    <xf numFmtId="165" fontId="4" fillId="0" borderId="2" xfId="0" applyNumberFormat="1" applyFont="1" applyFill="1" applyBorder="1" applyAlignment="1">
      <alignment horizontal="right"/>
    </xf>
    <xf numFmtId="165" fontId="4" fillId="7" borderId="11" xfId="0" applyNumberFormat="1" applyFont="1" applyFill="1" applyBorder="1" applyAlignment="1">
      <alignment horizontal="right"/>
    </xf>
    <xf numFmtId="7" fontId="4" fillId="4" borderId="11" xfId="0" applyNumberFormat="1" applyFont="1" applyFill="1" applyBorder="1"/>
    <xf numFmtId="165" fontId="1" fillId="0" borderId="0" xfId="0" applyNumberFormat="1" applyFont="1" applyFill="1"/>
    <xf numFmtId="10" fontId="17" fillId="4" borderId="2" xfId="0" applyNumberFormat="1" applyFont="1" applyFill="1" applyBorder="1"/>
    <xf numFmtId="0" fontId="0" fillId="0" borderId="0" xfId="0" applyFont="1" applyAlignment="1"/>
    <xf numFmtId="165" fontId="4" fillId="0" borderId="11" xfId="0" applyNumberFormat="1" applyFont="1" applyFill="1" applyBorder="1"/>
    <xf numFmtId="0" fontId="0" fillId="0" borderId="0" xfId="0" applyFont="1" applyAlignment="1"/>
    <xf numFmtId="165" fontId="4" fillId="7" borderId="11" xfId="0" applyNumberFormat="1" applyFont="1" applyFill="1" applyBorder="1" applyAlignment="1"/>
    <xf numFmtId="0" fontId="20" fillId="11" borderId="0" xfId="0" applyFont="1" applyFill="1" applyAlignment="1"/>
    <xf numFmtId="0" fontId="0" fillId="11" borderId="0" xfId="0" applyFont="1" applyFill="1" applyAlignment="1"/>
    <xf numFmtId="0" fontId="0" fillId="0" borderId="0" xfId="0" applyFont="1" applyAlignment="1"/>
    <xf numFmtId="0" fontId="0" fillId="0" borderId="0" xfId="0" applyFont="1" applyAlignment="1"/>
    <xf numFmtId="0" fontId="0" fillId="0" borderId="0" xfId="0" applyFont="1" applyAlignment="1"/>
    <xf numFmtId="7" fontId="1" fillId="8" borderId="11" xfId="0" applyNumberFormat="1" applyFont="1" applyFill="1" applyBorder="1"/>
    <xf numFmtId="7" fontId="1" fillId="7" borderId="11" xfId="0" applyNumberFormat="1" applyFont="1" applyFill="1" applyBorder="1"/>
    <xf numFmtId="7" fontId="1" fillId="6" borderId="11" xfId="0" applyNumberFormat="1" applyFont="1" applyFill="1" applyBorder="1"/>
    <xf numFmtId="7" fontId="3" fillId="0" borderId="0" xfId="0" applyNumberFormat="1" applyFont="1"/>
    <xf numFmtId="7" fontId="4" fillId="10" borderId="11" xfId="0" applyNumberFormat="1" applyFont="1" applyFill="1" applyBorder="1"/>
    <xf numFmtId="0" fontId="0" fillId="0" borderId="0" xfId="0" applyFont="1" applyAlignment="1"/>
    <xf numFmtId="0" fontId="0" fillId="0" borderId="0" xfId="0" applyFont="1" applyAlignment="1"/>
    <xf numFmtId="14" fontId="4" fillId="0" borderId="0" xfId="0" quotePrefix="1" applyNumberFormat="1" applyFont="1" applyAlignment="1">
      <alignment horizontal="center"/>
    </xf>
    <xf numFmtId="0" fontId="0" fillId="0" borderId="0" xfId="0" applyFont="1" applyAlignment="1"/>
    <xf numFmtId="165" fontId="1" fillId="7" borderId="11" xfId="0" applyNumberFormat="1" applyFont="1" applyFill="1" applyBorder="1" applyAlignment="1"/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>
      <alignment horizontal="center"/>
    </xf>
    <xf numFmtId="0" fontId="0" fillId="0" borderId="0" xfId="0" applyFont="1" applyAlignment="1"/>
    <xf numFmtId="0" fontId="1" fillId="4" borderId="3" xfId="0" applyFont="1" applyFill="1" applyBorder="1" applyAlignment="1">
      <alignment horizontal="center"/>
    </xf>
    <xf numFmtId="0" fontId="8" fillId="0" borderId="4" xfId="0" applyFont="1" applyBorder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001"/>
  <sheetViews>
    <sheetView tabSelected="1" zoomScale="167" zoomScaleNormal="167" workbookViewId="0">
      <pane xSplit="1" topLeftCell="B1" activePane="topRight" state="frozen"/>
      <selection pane="topRight" activeCell="Z112" sqref="Z112"/>
    </sheetView>
  </sheetViews>
  <sheetFormatPr baseColWidth="10" defaultColWidth="12.5" defaultRowHeight="15" customHeight="1" x14ac:dyDescent="0.15"/>
  <cols>
    <col min="1" max="1" width="33.33203125" customWidth="1"/>
    <col min="2" max="2" width="14.83203125" customWidth="1"/>
    <col min="3" max="3" width="6.33203125" customWidth="1"/>
    <col min="4" max="4" width="12.6640625" customWidth="1"/>
    <col min="5" max="5" width="13.1640625" customWidth="1"/>
    <col min="6" max="7" width="11.33203125" customWidth="1"/>
    <col min="8" max="9" width="12.33203125" customWidth="1"/>
    <col min="10" max="10" width="13" customWidth="1"/>
    <col min="11" max="11" width="11.33203125" customWidth="1"/>
    <col min="12" max="12" width="12" customWidth="1"/>
    <col min="13" max="13" width="4.33203125" customWidth="1"/>
    <col min="14" max="19" width="11.1640625" customWidth="1"/>
    <col min="20" max="20" width="11.33203125" customWidth="1"/>
    <col min="21" max="21" width="13.5" customWidth="1"/>
    <col min="22" max="23" width="11.33203125" customWidth="1"/>
    <col min="24" max="24" width="11.1640625" customWidth="1"/>
    <col min="25" max="25" width="11" customWidth="1"/>
    <col min="26" max="26" width="12.33203125" customWidth="1"/>
    <col min="27" max="27" width="12.6640625" customWidth="1"/>
    <col min="28" max="28" width="11.83203125" customWidth="1"/>
    <col min="29" max="29" width="11.33203125" customWidth="1"/>
    <col min="30" max="30" width="12.33203125" customWidth="1"/>
    <col min="31" max="31" width="12.1640625" customWidth="1"/>
    <col min="32" max="32" width="10" customWidth="1"/>
    <col min="33" max="33" width="11.1640625" customWidth="1"/>
    <col min="34" max="34" width="2.1640625" customWidth="1"/>
    <col min="35" max="35" width="12.1640625" customWidth="1"/>
    <col min="36" max="36" width="10" customWidth="1"/>
  </cols>
  <sheetData>
    <row r="1" spans="1:36" ht="7" customHeight="1" x14ac:dyDescent="0.2">
      <c r="A1" s="204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0" t="s">
        <v>2</v>
      </c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8"/>
      <c r="AB1" s="8"/>
      <c r="AC1" s="8"/>
      <c r="AD1" s="8"/>
      <c r="AE1" s="8"/>
      <c r="AF1" s="8"/>
      <c r="AG1" s="9"/>
      <c r="AH1" s="8"/>
      <c r="AI1" s="8"/>
      <c r="AJ1" s="8"/>
    </row>
    <row r="2" spans="1:36" ht="14" customHeight="1" x14ac:dyDescent="0.2">
      <c r="A2" s="200" t="s">
        <v>2</v>
      </c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8"/>
      <c r="AB2" s="8"/>
      <c r="AC2" s="8"/>
      <c r="AD2" s="8"/>
      <c r="AE2" s="8"/>
      <c r="AF2" s="8"/>
      <c r="AG2" s="9"/>
      <c r="AH2" s="8"/>
      <c r="AI2" s="8"/>
      <c r="AJ2" s="8"/>
    </row>
    <row r="3" spans="1:36" ht="13" customHeight="1" x14ac:dyDescent="0.2">
      <c r="A3" s="200" t="s">
        <v>344</v>
      </c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0" t="str">
        <f>A3</f>
        <v>2020 - 2021 Final Budget</v>
      </c>
      <c r="O3" s="201"/>
      <c r="P3" s="201"/>
      <c r="Q3" s="201"/>
      <c r="R3" s="201"/>
      <c r="S3" s="201"/>
      <c r="T3" s="201"/>
      <c r="U3" s="201"/>
      <c r="V3" s="201"/>
      <c r="W3" s="201"/>
      <c r="X3" s="201"/>
      <c r="Y3" s="201"/>
      <c r="Z3" s="201"/>
      <c r="AA3" s="8"/>
      <c r="AB3" s="8"/>
      <c r="AC3" s="8"/>
      <c r="AD3" s="8"/>
      <c r="AE3" s="8"/>
      <c r="AF3" s="8"/>
      <c r="AG3" s="9"/>
      <c r="AH3" s="8"/>
      <c r="AI3" s="8"/>
      <c r="AJ3" s="8"/>
    </row>
    <row r="4" spans="1:36" ht="18.75" customHeight="1" x14ac:dyDescent="0.2">
      <c r="A4" s="200" t="str">
        <f>VLOOKUP($L$7,$AG$4:$AJ$20,3)</f>
        <v>10 Months Actual and 2 Months Projected</v>
      </c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0" t="str">
        <f>A4</f>
        <v>10 Months Actual and 2 Months Projected</v>
      </c>
      <c r="O4" s="201"/>
      <c r="P4" s="201"/>
      <c r="Q4" s="201"/>
      <c r="R4" s="201"/>
      <c r="S4" s="201"/>
      <c r="T4" s="201"/>
      <c r="U4" s="201"/>
      <c r="V4" s="201"/>
      <c r="W4" s="201"/>
      <c r="X4" s="201"/>
      <c r="Y4" s="201"/>
      <c r="Z4" s="201"/>
      <c r="AA4" s="8"/>
      <c r="AB4" s="8"/>
      <c r="AC4" s="8"/>
      <c r="AD4" s="8"/>
      <c r="AE4" s="8"/>
      <c r="AF4" s="8"/>
      <c r="AG4" s="9">
        <v>44013</v>
      </c>
      <c r="AH4" s="8">
        <v>1</v>
      </c>
      <c r="AI4" s="8" t="s">
        <v>17</v>
      </c>
      <c r="AJ4" s="1" t="s">
        <v>307</v>
      </c>
    </row>
    <row r="5" spans="1:36" ht="10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9">
        <v>44044</v>
      </c>
      <c r="AH5" s="8">
        <v>2</v>
      </c>
      <c r="AI5" s="8" t="s">
        <v>23</v>
      </c>
      <c r="AJ5" s="1" t="s">
        <v>308</v>
      </c>
    </row>
    <row r="6" spans="1:36" ht="22.5" customHeight="1" x14ac:dyDescent="0.15">
      <c r="A6" s="8"/>
      <c r="B6" s="8"/>
      <c r="C6" s="8"/>
      <c r="D6" s="36"/>
      <c r="E6" s="36"/>
      <c r="F6" s="8"/>
      <c r="G6" s="8"/>
      <c r="H6" s="8"/>
      <c r="I6" s="8"/>
      <c r="J6" s="8"/>
      <c r="K6" s="8"/>
      <c r="L6" s="16" t="s">
        <v>25</v>
      </c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9">
        <v>44075</v>
      </c>
      <c r="AH6" s="8">
        <v>3</v>
      </c>
      <c r="AI6" s="8" t="s">
        <v>31</v>
      </c>
      <c r="AJ6" s="1" t="s">
        <v>309</v>
      </c>
    </row>
    <row r="7" spans="1:36" ht="13.5" customHeight="1" x14ac:dyDescent="0.15">
      <c r="A7" s="8"/>
      <c r="B7" s="8"/>
      <c r="C7" s="8"/>
      <c r="D7" s="8"/>
      <c r="E7" s="8"/>
      <c r="F7" s="202" t="s">
        <v>32</v>
      </c>
      <c r="G7" s="203"/>
      <c r="H7" s="203"/>
      <c r="I7" s="203"/>
      <c r="J7" s="203"/>
      <c r="K7" s="203"/>
      <c r="L7" s="20">
        <v>44287</v>
      </c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9">
        <v>44105</v>
      </c>
      <c r="AH7" s="8">
        <v>4</v>
      </c>
      <c r="AI7" s="8" t="s">
        <v>38</v>
      </c>
      <c r="AJ7" s="1" t="s">
        <v>310</v>
      </c>
    </row>
    <row r="8" spans="1:36" ht="11.25" customHeight="1" x14ac:dyDescent="0.15">
      <c r="A8" s="22" t="s">
        <v>6</v>
      </c>
      <c r="B8" s="22" t="s">
        <v>39</v>
      </c>
      <c r="C8" s="22"/>
      <c r="D8" s="24" t="s">
        <v>41</v>
      </c>
      <c r="E8" s="24" t="s">
        <v>341</v>
      </c>
      <c r="F8" s="24" t="s">
        <v>54</v>
      </c>
      <c r="G8" s="24" t="s">
        <v>55</v>
      </c>
      <c r="H8" s="24" t="s">
        <v>56</v>
      </c>
      <c r="I8" s="24" t="s">
        <v>59</v>
      </c>
      <c r="J8" s="24" t="s">
        <v>60</v>
      </c>
      <c r="K8" s="26" t="s">
        <v>62</v>
      </c>
      <c r="L8" s="24" t="s">
        <v>69</v>
      </c>
      <c r="M8" s="27"/>
      <c r="N8" s="33">
        <f t="array" ref="N8:Y8">TRANSPOSE(AG4:AG21)</f>
        <v>44013</v>
      </c>
      <c r="O8" s="35">
        <v>44044</v>
      </c>
      <c r="P8" s="35">
        <v>44075</v>
      </c>
      <c r="Q8" s="35">
        <v>44105</v>
      </c>
      <c r="R8" s="35">
        <v>44136</v>
      </c>
      <c r="S8" s="35">
        <v>44166</v>
      </c>
      <c r="T8" s="35">
        <v>44197</v>
      </c>
      <c r="U8" s="35">
        <v>44228</v>
      </c>
      <c r="V8" s="35">
        <v>44256</v>
      </c>
      <c r="W8" s="35">
        <v>44287</v>
      </c>
      <c r="X8" s="35">
        <v>44317</v>
      </c>
      <c r="Y8" s="35">
        <v>44348</v>
      </c>
      <c r="Z8" s="35" t="s">
        <v>330</v>
      </c>
      <c r="AA8" s="8"/>
      <c r="AB8" s="8"/>
      <c r="AC8" s="8"/>
      <c r="AD8" s="8"/>
      <c r="AE8" s="8"/>
      <c r="AF8" s="8"/>
      <c r="AG8" s="9">
        <v>44136</v>
      </c>
      <c r="AH8" s="8">
        <v>5</v>
      </c>
      <c r="AI8" s="8" t="s">
        <v>103</v>
      </c>
      <c r="AJ8" s="1" t="s">
        <v>311</v>
      </c>
    </row>
    <row r="9" spans="1:36" ht="20.25" customHeight="1" x14ac:dyDescent="0.15">
      <c r="A9" s="8"/>
      <c r="B9" s="8"/>
      <c r="C9" s="8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8"/>
      <c r="AB9" s="8"/>
      <c r="AC9" s="8"/>
      <c r="AD9" s="8"/>
      <c r="AE9" s="8"/>
      <c r="AF9" s="8"/>
      <c r="AG9" s="9">
        <v>44166</v>
      </c>
      <c r="AH9" s="8">
        <v>6</v>
      </c>
      <c r="AI9" s="8" t="s">
        <v>104</v>
      </c>
      <c r="AJ9" s="1" t="s">
        <v>312</v>
      </c>
    </row>
    <row r="10" spans="1:36" ht="10.5" customHeight="1" x14ac:dyDescent="0.15">
      <c r="A10" s="1" t="s">
        <v>105</v>
      </c>
      <c r="B10" s="37"/>
      <c r="C10" s="1"/>
      <c r="D10" s="38">
        <v>318</v>
      </c>
      <c r="E10" s="38">
        <v>318</v>
      </c>
      <c r="F10" s="39"/>
      <c r="G10" s="39"/>
      <c r="H10" s="39"/>
      <c r="I10" s="39"/>
      <c r="J10" s="39"/>
      <c r="K10" s="39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8"/>
      <c r="AB10" s="8"/>
      <c r="AC10" s="8"/>
      <c r="AD10" s="8"/>
      <c r="AE10" s="8"/>
      <c r="AF10" s="8"/>
      <c r="AG10" s="9">
        <v>44197</v>
      </c>
      <c r="AH10" s="8">
        <v>7</v>
      </c>
      <c r="AI10" s="8" t="s">
        <v>106</v>
      </c>
      <c r="AJ10" s="1" t="s">
        <v>313</v>
      </c>
    </row>
    <row r="11" spans="1:36" ht="10.5" customHeight="1" x14ac:dyDescent="0.15">
      <c r="A11" s="40" t="s">
        <v>107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2"/>
      <c r="AA11" s="8"/>
      <c r="AB11" s="8"/>
      <c r="AC11" s="8"/>
      <c r="AD11" s="8"/>
      <c r="AE11" s="8"/>
      <c r="AF11" s="8"/>
      <c r="AG11" s="9">
        <v>44228</v>
      </c>
      <c r="AH11" s="8">
        <v>8</v>
      </c>
      <c r="AI11" s="8" t="s">
        <v>108</v>
      </c>
      <c r="AJ11" s="1" t="s">
        <v>314</v>
      </c>
    </row>
    <row r="12" spans="1:36" ht="4.5" customHeight="1" x14ac:dyDescent="0.15">
      <c r="A12" s="8"/>
      <c r="B12" s="8"/>
      <c r="C12" s="8"/>
      <c r="D12" s="36"/>
      <c r="E12" s="36"/>
      <c r="F12" s="39"/>
      <c r="G12" s="39"/>
      <c r="H12" s="39"/>
      <c r="I12" s="39"/>
      <c r="J12" s="39"/>
      <c r="K12" s="39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8"/>
      <c r="AB12" s="8"/>
      <c r="AC12" s="8"/>
      <c r="AD12" s="8"/>
      <c r="AE12" s="8"/>
      <c r="AF12" s="8"/>
      <c r="AG12" s="9">
        <v>44256</v>
      </c>
      <c r="AH12" s="8">
        <v>9</v>
      </c>
      <c r="AI12" s="8" t="s">
        <v>109</v>
      </c>
      <c r="AJ12" s="1" t="s">
        <v>315</v>
      </c>
    </row>
    <row r="13" spans="1:36" ht="18.75" customHeight="1" x14ac:dyDescent="0.15">
      <c r="A13" s="43" t="s">
        <v>110</v>
      </c>
      <c r="B13" s="44" t="s">
        <v>18</v>
      </c>
      <c r="C13" s="45"/>
      <c r="D13" s="36">
        <v>3102269</v>
      </c>
      <c r="E13" s="36">
        <v>3075977</v>
      </c>
      <c r="F13" s="39">
        <f t="shared" ref="F13:F26" ca="1" si="0">SUM(OFFSET(N13,0,0,1,VLOOKUP($L$7,$AG$4:$AH$15,2,FALSE)))</f>
        <v>3075977</v>
      </c>
      <c r="G13" s="46">
        <f ca="1">IFERROR(F13/E13,0%)</f>
        <v>1</v>
      </c>
      <c r="H13" s="39">
        <f t="shared" ref="H13:H26" ca="1" si="1">IFERROR(IF($L$7="june",0,SUM(OFFSET(Y13,0,0,1,(VLOOKUP($L$7,$AG$4:$AH$15,2,FALSE)-12)))),0)</f>
        <v>0</v>
      </c>
      <c r="I13" s="39"/>
      <c r="J13" s="39"/>
      <c r="K13" s="39">
        <f t="shared" ref="K13:K27" ca="1" si="2">F13+H13</f>
        <v>3075977</v>
      </c>
      <c r="L13" s="36">
        <f ca="1">K13-E13</f>
        <v>0</v>
      </c>
      <c r="M13" s="36"/>
      <c r="N13" s="36">
        <f>366206+2617894</f>
        <v>2984100</v>
      </c>
      <c r="O13" s="36"/>
      <c r="P13" s="36"/>
      <c r="Q13" s="36"/>
      <c r="R13" s="36"/>
      <c r="S13" s="36"/>
      <c r="T13" s="36">
        <f>316311-366206+2714902-2617894</f>
        <v>47113</v>
      </c>
      <c r="U13" s="36">
        <f>2759666-2714902</f>
        <v>44764</v>
      </c>
      <c r="V13" s="36"/>
      <c r="W13" s="36"/>
      <c r="X13" s="36"/>
      <c r="Y13" s="36"/>
      <c r="Z13" s="36">
        <f t="shared" ref="Z13:Z26" si="3">SUM(N13:Y13)</f>
        <v>3075977</v>
      </c>
      <c r="AA13" s="36">
        <f>Z13-E13</f>
        <v>0</v>
      </c>
      <c r="AB13" s="36"/>
      <c r="AC13" s="36"/>
      <c r="AD13" s="36"/>
      <c r="AE13" s="8"/>
      <c r="AF13" s="8"/>
      <c r="AG13" s="9">
        <v>44287</v>
      </c>
      <c r="AH13" s="8">
        <v>10</v>
      </c>
      <c r="AI13" s="8" t="s">
        <v>114</v>
      </c>
      <c r="AJ13" s="1" t="s">
        <v>316</v>
      </c>
    </row>
    <row r="14" spans="1:36" ht="14.25" customHeight="1" x14ac:dyDescent="0.15">
      <c r="A14" s="43" t="s">
        <v>115</v>
      </c>
      <c r="B14" s="44" t="s">
        <v>29</v>
      </c>
      <c r="C14" s="45"/>
      <c r="D14" s="36">
        <v>78147</v>
      </c>
      <c r="E14" s="36">
        <v>74457</v>
      </c>
      <c r="F14" s="39">
        <f t="shared" ca="1" si="0"/>
        <v>74457</v>
      </c>
      <c r="G14" s="46">
        <f t="shared" ref="G14:G26" ca="1" si="4">IFERROR(F14/E14,0%)</f>
        <v>1</v>
      </c>
      <c r="H14" s="39">
        <f t="shared" ca="1" si="1"/>
        <v>0</v>
      </c>
      <c r="I14" s="39"/>
      <c r="J14" s="39"/>
      <c r="K14" s="39">
        <f t="shared" ca="1" si="2"/>
        <v>74457</v>
      </c>
      <c r="L14" s="36">
        <f t="shared" ref="L14:L26" ca="1" si="5">K14-E14</f>
        <v>0</v>
      </c>
      <c r="M14" s="36"/>
      <c r="N14" s="36">
        <v>79923</v>
      </c>
      <c r="O14" s="36"/>
      <c r="P14" s="36"/>
      <c r="Q14" s="36"/>
      <c r="R14" s="36"/>
      <c r="S14" s="36"/>
      <c r="T14" s="160"/>
      <c r="U14" s="36">
        <f>74457-79923</f>
        <v>-5466</v>
      </c>
      <c r="V14" s="36"/>
      <c r="W14" s="36"/>
      <c r="X14" s="36"/>
      <c r="Y14" s="36"/>
      <c r="Z14" s="36">
        <f t="shared" si="3"/>
        <v>74457</v>
      </c>
      <c r="AA14" s="36">
        <f t="shared" ref="AA14:AA77" si="6">Z14-E14</f>
        <v>0</v>
      </c>
      <c r="AB14" s="36"/>
      <c r="AC14" s="36"/>
      <c r="AD14" s="36"/>
      <c r="AE14" s="8"/>
      <c r="AF14" s="8"/>
      <c r="AG14" s="9">
        <v>44317</v>
      </c>
      <c r="AH14" s="8">
        <v>11</v>
      </c>
      <c r="AI14" s="8" t="s">
        <v>119</v>
      </c>
      <c r="AJ14" s="1" t="s">
        <v>317</v>
      </c>
    </row>
    <row r="15" spans="1:36" ht="15" customHeight="1" x14ac:dyDescent="0.15">
      <c r="A15" s="43" t="s">
        <v>120</v>
      </c>
      <c r="B15" s="44" t="s">
        <v>14</v>
      </c>
      <c r="C15" s="45"/>
      <c r="D15" s="36">
        <v>10460</v>
      </c>
      <c r="E15" s="36">
        <v>9965</v>
      </c>
      <c r="F15" s="39">
        <f t="shared" ca="1" si="0"/>
        <v>9965</v>
      </c>
      <c r="G15" s="46">
        <f t="shared" ca="1" si="4"/>
        <v>1</v>
      </c>
      <c r="H15" s="39">
        <f t="shared" ca="1" si="1"/>
        <v>0</v>
      </c>
      <c r="I15" s="39"/>
      <c r="J15" s="39"/>
      <c r="K15" s="39">
        <f t="shared" ca="1" si="2"/>
        <v>9965</v>
      </c>
      <c r="L15" s="36">
        <f t="shared" ca="1" si="5"/>
        <v>0</v>
      </c>
      <c r="M15" s="36"/>
      <c r="N15" s="36">
        <v>10697</v>
      </c>
      <c r="O15" s="36"/>
      <c r="P15" s="36"/>
      <c r="Q15" s="36"/>
      <c r="R15" s="36"/>
      <c r="S15" s="36">
        <f>9965-10697</f>
        <v>-732</v>
      </c>
      <c r="T15" s="160"/>
      <c r="U15" s="36"/>
      <c r="V15" s="36"/>
      <c r="W15" s="36"/>
      <c r="X15" s="36"/>
      <c r="Y15" s="36"/>
      <c r="Z15" s="36">
        <f t="shared" si="3"/>
        <v>9965</v>
      </c>
      <c r="AA15" s="36">
        <f t="shared" si="6"/>
        <v>0</v>
      </c>
      <c r="AB15" s="36"/>
      <c r="AC15" s="36"/>
      <c r="AD15" s="36"/>
      <c r="AE15" s="8"/>
      <c r="AF15" s="8"/>
      <c r="AG15" s="9">
        <v>44348</v>
      </c>
      <c r="AH15" s="8">
        <v>12</v>
      </c>
      <c r="AI15" s="8" t="s">
        <v>125</v>
      </c>
      <c r="AJ15" s="1" t="s">
        <v>318</v>
      </c>
    </row>
    <row r="16" spans="1:36" ht="15" customHeight="1" x14ac:dyDescent="0.15">
      <c r="A16" s="8" t="s">
        <v>126</v>
      </c>
      <c r="B16" s="45"/>
      <c r="C16" s="45"/>
      <c r="D16" s="36"/>
      <c r="E16" s="36">
        <v>0</v>
      </c>
      <c r="F16" s="39">
        <f t="shared" ca="1" si="0"/>
        <v>0</v>
      </c>
      <c r="G16" s="46">
        <f t="shared" ca="1" si="4"/>
        <v>0</v>
      </c>
      <c r="H16" s="39">
        <f t="shared" ca="1" si="1"/>
        <v>0</v>
      </c>
      <c r="I16" s="39"/>
      <c r="J16" s="39"/>
      <c r="K16" s="39">
        <f t="shared" ca="1" si="2"/>
        <v>0</v>
      </c>
      <c r="L16" s="36">
        <f t="shared" ca="1" si="5"/>
        <v>0</v>
      </c>
      <c r="M16" s="36"/>
      <c r="N16" s="36"/>
      <c r="O16" s="36"/>
      <c r="P16" s="36"/>
      <c r="Q16" s="36"/>
      <c r="R16" s="36"/>
      <c r="S16" s="36"/>
      <c r="T16" s="160"/>
      <c r="U16" s="36"/>
      <c r="V16" s="36"/>
      <c r="W16" s="36"/>
      <c r="X16" s="36"/>
      <c r="Y16" s="36"/>
      <c r="Z16" s="36">
        <f t="shared" si="3"/>
        <v>0</v>
      </c>
      <c r="AA16" s="36">
        <f t="shared" si="6"/>
        <v>0</v>
      </c>
      <c r="AB16" s="36"/>
      <c r="AC16" s="36"/>
      <c r="AD16" s="36"/>
      <c r="AE16" s="8"/>
      <c r="AF16" s="8"/>
      <c r="AG16" s="9"/>
      <c r="AH16" s="8"/>
      <c r="AI16" s="8"/>
      <c r="AJ16" s="1"/>
    </row>
    <row r="17" spans="1:36" ht="15" customHeight="1" x14ac:dyDescent="0.15">
      <c r="A17" s="8" t="s">
        <v>127</v>
      </c>
      <c r="B17" s="44" t="s">
        <v>118</v>
      </c>
      <c r="C17" s="45"/>
      <c r="D17" s="36">
        <v>59016</v>
      </c>
      <c r="E17" s="36">
        <v>574195</v>
      </c>
      <c r="F17" s="39">
        <f t="shared" ca="1" si="0"/>
        <v>585281.92000000004</v>
      </c>
      <c r="G17" s="46">
        <f t="shared" ca="1" si="4"/>
        <v>1.019308632084919</v>
      </c>
      <c r="H17" s="39">
        <f t="shared" ca="1" si="1"/>
        <v>0</v>
      </c>
      <c r="I17" s="39"/>
      <c r="J17" s="39"/>
      <c r="K17" s="39">
        <f t="shared" ca="1" si="2"/>
        <v>585281.92000000004</v>
      </c>
      <c r="L17" s="36">
        <f t="shared" ca="1" si="5"/>
        <v>11086.920000000042</v>
      </c>
      <c r="M17" s="36"/>
      <c r="N17" s="36">
        <f>142</f>
        <v>142</v>
      </c>
      <c r="O17" s="36"/>
      <c r="P17" s="36">
        <v>1160</v>
      </c>
      <c r="Q17" s="36">
        <v>57714.46</v>
      </c>
      <c r="R17" s="36"/>
      <c r="S17" s="36"/>
      <c r="T17" s="160">
        <v>515179.04</v>
      </c>
      <c r="U17" s="36">
        <v>140.41999999999999</v>
      </c>
      <c r="V17" s="36">
        <v>8526</v>
      </c>
      <c r="W17" s="36">
        <v>2420</v>
      </c>
      <c r="X17" s="36"/>
      <c r="Y17" s="36"/>
      <c r="Z17" s="36">
        <f t="shared" si="3"/>
        <v>585281.92000000004</v>
      </c>
      <c r="AA17" s="36">
        <f t="shared" si="6"/>
        <v>11086.920000000042</v>
      </c>
      <c r="AB17" s="36"/>
      <c r="AC17" s="36"/>
      <c r="AD17" s="36"/>
      <c r="AE17" s="8"/>
      <c r="AF17" s="8"/>
      <c r="AG17" s="9"/>
      <c r="AH17" s="8"/>
      <c r="AI17" s="8"/>
      <c r="AJ17" s="1"/>
    </row>
    <row r="18" spans="1:36" ht="15" customHeight="1" x14ac:dyDescent="0.15">
      <c r="A18" s="8" t="s">
        <v>130</v>
      </c>
      <c r="B18" s="44" t="s">
        <v>121</v>
      </c>
      <c r="C18" s="45"/>
      <c r="D18" s="36">
        <f>50650*2</f>
        <v>101300</v>
      </c>
      <c r="E18" s="36">
        <v>101300</v>
      </c>
      <c r="F18" s="39">
        <f t="shared" ca="1" si="0"/>
        <v>101300</v>
      </c>
      <c r="G18" s="46">
        <f t="shared" ca="1" si="4"/>
        <v>1</v>
      </c>
      <c r="H18" s="39">
        <f t="shared" ca="1" si="1"/>
        <v>0</v>
      </c>
      <c r="I18" s="39"/>
      <c r="J18" s="39"/>
      <c r="K18" s="39">
        <f t="shared" ca="1" si="2"/>
        <v>101300</v>
      </c>
      <c r="L18" s="36">
        <f t="shared" ca="1" si="5"/>
        <v>0</v>
      </c>
      <c r="M18" s="36"/>
      <c r="N18" s="36">
        <f>25325+71025-45700</f>
        <v>50650</v>
      </c>
      <c r="O18" s="36"/>
      <c r="P18" s="36">
        <f>50650-25325+96350-71025</f>
        <v>50650</v>
      </c>
      <c r="Q18" s="36"/>
      <c r="R18" s="36"/>
      <c r="S18" s="36"/>
      <c r="T18" s="160"/>
      <c r="U18" s="36"/>
      <c r="V18" s="36"/>
      <c r="W18" s="36"/>
      <c r="X18" s="36"/>
      <c r="Y18" s="36"/>
      <c r="Z18" s="36">
        <f t="shared" si="3"/>
        <v>101300</v>
      </c>
      <c r="AA18" s="36">
        <f t="shared" si="6"/>
        <v>0</v>
      </c>
      <c r="AB18" s="36"/>
      <c r="AC18" s="36"/>
      <c r="AD18" s="36"/>
      <c r="AE18" s="8"/>
      <c r="AF18" s="8"/>
      <c r="AG18" s="9"/>
      <c r="AH18" s="8"/>
      <c r="AI18" s="8"/>
      <c r="AJ18" s="1"/>
    </row>
    <row r="19" spans="1:36" s="159" customFormat="1" ht="15" customHeight="1" x14ac:dyDescent="0.15">
      <c r="A19" s="8" t="s">
        <v>306</v>
      </c>
      <c r="B19" s="44"/>
      <c r="C19" s="45"/>
      <c r="D19" s="36">
        <v>92715</v>
      </c>
      <c r="E19" s="36">
        <v>54919</v>
      </c>
      <c r="F19" s="39">
        <f t="shared" ca="1" si="0"/>
        <v>0</v>
      </c>
      <c r="G19" s="46">
        <f t="shared" ca="1" si="4"/>
        <v>0</v>
      </c>
      <c r="H19" s="39">
        <f t="shared" ca="1" si="1"/>
        <v>25487</v>
      </c>
      <c r="I19" s="176"/>
      <c r="J19" s="176"/>
      <c r="K19" s="39">
        <f t="shared" ca="1" si="2"/>
        <v>25487</v>
      </c>
      <c r="L19" s="36">
        <f t="shared" ca="1" si="5"/>
        <v>-29432</v>
      </c>
      <c r="M19" s="36"/>
      <c r="N19" s="36"/>
      <c r="O19" s="36"/>
      <c r="P19" s="36"/>
      <c r="Q19" s="36"/>
      <c r="R19" s="36"/>
      <c r="S19" s="36"/>
      <c r="T19" s="160"/>
      <c r="U19" s="36"/>
      <c r="V19" s="36"/>
      <c r="W19" s="36"/>
      <c r="X19" s="36">
        <v>25487</v>
      </c>
      <c r="Y19" s="36"/>
      <c r="Z19" s="36">
        <f t="shared" si="3"/>
        <v>25487</v>
      </c>
      <c r="AA19" s="36">
        <f t="shared" si="6"/>
        <v>-29432</v>
      </c>
      <c r="AB19" s="36"/>
      <c r="AC19" s="36"/>
      <c r="AD19" s="36"/>
      <c r="AE19" s="8"/>
      <c r="AF19" s="8"/>
      <c r="AG19" s="9"/>
      <c r="AH19" s="8"/>
      <c r="AI19" s="8"/>
      <c r="AJ19" s="1"/>
    </row>
    <row r="20" spans="1:36" ht="13.5" customHeight="1" x14ac:dyDescent="0.15">
      <c r="A20" s="43" t="s">
        <v>133</v>
      </c>
      <c r="B20" s="44" t="s">
        <v>52</v>
      </c>
      <c r="C20" s="45"/>
      <c r="D20" s="36">
        <v>2055866</v>
      </c>
      <c r="E20" s="36">
        <v>2111091</v>
      </c>
      <c r="F20" s="39">
        <f t="shared" ca="1" si="0"/>
        <v>2145237.8300000005</v>
      </c>
      <c r="G20" s="46">
        <f t="shared" ca="1" si="4"/>
        <v>1.0161749682983825</v>
      </c>
      <c r="H20" s="39">
        <f t="shared" ca="1" si="1"/>
        <v>700</v>
      </c>
      <c r="I20" s="39"/>
      <c r="J20" s="39"/>
      <c r="K20" s="39">
        <f t="shared" ca="1" si="2"/>
        <v>2145937.8300000005</v>
      </c>
      <c r="L20" s="36">
        <f t="shared" ca="1" si="5"/>
        <v>34846.83000000054</v>
      </c>
      <c r="M20" s="36"/>
      <c r="N20" s="36">
        <f>145512.81-143854.24</f>
        <v>1658.570000000007</v>
      </c>
      <c r="O20" s="36">
        <f>170265.78-145512.81</f>
        <v>24752.97</v>
      </c>
      <c r="P20" s="36">
        <f>449939.95-170265.78</f>
        <v>279674.17000000004</v>
      </c>
      <c r="Q20" s="36">
        <f>859202.4-449939.95</f>
        <v>409262.45</v>
      </c>
      <c r="R20" s="36">
        <f>860390.79-859202.4+45628.65</f>
        <v>46817.040000000015</v>
      </c>
      <c r="S20" s="36">
        <f>2209317.04-860390.79</f>
        <v>1348926.25</v>
      </c>
      <c r="T20" s="160">
        <f>2227312.28-2209317.04</f>
        <v>17995.239999999758</v>
      </c>
      <c r="U20" s="36">
        <f>2231161.1-2227312.28</f>
        <v>3848.820000000298</v>
      </c>
      <c r="V20" s="36">
        <f>2232756.47-2231161.1+55763.17-45628.65</f>
        <v>11729.890000000109</v>
      </c>
      <c r="W20" s="36">
        <v>572.42999999999995</v>
      </c>
      <c r="X20" s="36">
        <v>400</v>
      </c>
      <c r="Y20" s="36">
        <v>300</v>
      </c>
      <c r="Z20" s="36">
        <f t="shared" si="3"/>
        <v>2145937.8300000005</v>
      </c>
      <c r="AA20" s="36">
        <f t="shared" si="6"/>
        <v>34846.83000000054</v>
      </c>
      <c r="AB20" s="36"/>
      <c r="AC20" s="36"/>
      <c r="AD20" s="36"/>
      <c r="AE20" s="8"/>
      <c r="AF20" s="8"/>
      <c r="AG20" s="1"/>
      <c r="AH20" s="8"/>
      <c r="AI20" s="8"/>
      <c r="AJ20" s="1"/>
    </row>
    <row r="21" spans="1:36" ht="13.5" customHeight="1" x14ac:dyDescent="0.15">
      <c r="A21" s="8" t="s">
        <v>140</v>
      </c>
      <c r="B21" s="45"/>
      <c r="C21" s="45"/>
      <c r="D21" s="36">
        <v>113295</v>
      </c>
      <c r="E21" s="36">
        <v>113295</v>
      </c>
      <c r="F21" s="39">
        <f t="shared" ca="1" si="0"/>
        <v>0</v>
      </c>
      <c r="G21" s="46">
        <f t="shared" ca="1" si="4"/>
        <v>0</v>
      </c>
      <c r="H21" s="39">
        <f t="shared" ca="1" si="1"/>
        <v>0</v>
      </c>
      <c r="I21" s="39"/>
      <c r="J21" s="39"/>
      <c r="K21" s="39">
        <f t="shared" ca="1" si="2"/>
        <v>0</v>
      </c>
      <c r="L21" s="36">
        <f t="shared" ca="1" si="5"/>
        <v>-113295</v>
      </c>
      <c r="M21" s="36"/>
      <c r="N21" s="36"/>
      <c r="O21" s="36"/>
      <c r="P21" s="36"/>
      <c r="Q21" s="36"/>
      <c r="R21" s="36"/>
      <c r="S21" s="36"/>
      <c r="T21" s="160"/>
      <c r="U21" s="36"/>
      <c r="V21" s="36"/>
      <c r="W21" s="36"/>
      <c r="X21" s="36"/>
      <c r="Y21" s="36"/>
      <c r="Z21" s="36">
        <f t="shared" si="3"/>
        <v>0</v>
      </c>
      <c r="AA21" s="36">
        <f t="shared" si="6"/>
        <v>-113295</v>
      </c>
      <c r="AB21" s="36"/>
      <c r="AC21" s="36"/>
      <c r="AD21" s="36"/>
      <c r="AE21" s="8"/>
      <c r="AF21" s="8"/>
      <c r="AG21" s="9" t="s">
        <v>142</v>
      </c>
      <c r="AH21" s="8">
        <v>0</v>
      </c>
      <c r="AI21" s="8" t="s">
        <v>143</v>
      </c>
      <c r="AJ21" s="8" t="s">
        <v>144</v>
      </c>
    </row>
    <row r="22" spans="1:36" ht="10.5" customHeight="1" x14ac:dyDescent="0.15">
      <c r="A22" s="8" t="s">
        <v>145</v>
      </c>
      <c r="B22" s="45"/>
      <c r="C22" s="45"/>
      <c r="D22" s="36">
        <v>921402</v>
      </c>
      <c r="E22" s="36">
        <v>927098</v>
      </c>
      <c r="F22" s="39">
        <f t="shared" ca="1" si="0"/>
        <v>1012032.8300000001</v>
      </c>
      <c r="G22" s="46">
        <f t="shared" ca="1" si="4"/>
        <v>1.0916136481795884</v>
      </c>
      <c r="H22" s="39">
        <f t="shared" ca="1" si="1"/>
        <v>798281</v>
      </c>
      <c r="I22" s="39"/>
      <c r="J22" s="39"/>
      <c r="K22" s="39">
        <f t="shared" ca="1" si="2"/>
        <v>1810313.83</v>
      </c>
      <c r="L22" s="36">
        <f t="shared" ca="1" si="5"/>
        <v>883215.83000000007</v>
      </c>
      <c r="M22" s="36"/>
      <c r="N22" s="36">
        <f>3185125.12-2999325.12</f>
        <v>185800</v>
      </c>
      <c r="O22" s="36">
        <f>3407039.12-3185125.12</f>
        <v>221914</v>
      </c>
      <c r="P22" s="36">
        <f>3584977.12-3407039.12</f>
        <v>177938</v>
      </c>
      <c r="Q22" s="36">
        <f>3909920.95-3584977.12</f>
        <v>324943.83000000007</v>
      </c>
      <c r="R22" s="36"/>
      <c r="S22" s="36">
        <f>3926422.95-3909920.95</f>
        <v>16502</v>
      </c>
      <c r="T22" s="160"/>
      <c r="U22" s="36">
        <v>35000</v>
      </c>
      <c r="V22" s="36"/>
      <c r="W22" s="36">
        <f>4011357.95-3961422.95</f>
        <v>49935</v>
      </c>
      <c r="X22" s="36"/>
      <c r="Y22" s="36">
        <v>798281</v>
      </c>
      <c r="Z22" s="36">
        <f t="shared" si="3"/>
        <v>1810313.83</v>
      </c>
      <c r="AA22" s="36">
        <f t="shared" si="6"/>
        <v>883215.83000000007</v>
      </c>
      <c r="AB22" s="36"/>
      <c r="AC22" s="36"/>
      <c r="AD22" s="36"/>
      <c r="AE22" s="8"/>
      <c r="AF22" s="8"/>
      <c r="AG22" s="9"/>
      <c r="AH22" s="8"/>
      <c r="AI22" s="8"/>
      <c r="AJ22" s="8"/>
    </row>
    <row r="23" spans="1:36" ht="10.5" customHeight="1" x14ac:dyDescent="0.15">
      <c r="A23" s="43" t="s">
        <v>124</v>
      </c>
      <c r="B23" s="45">
        <v>50022</v>
      </c>
      <c r="C23" s="45"/>
      <c r="D23" s="36">
        <v>68817</v>
      </c>
      <c r="E23" s="36">
        <v>68817</v>
      </c>
      <c r="F23" s="39">
        <f t="shared" ca="1" si="0"/>
        <v>68817</v>
      </c>
      <c r="G23" s="46">
        <f t="shared" ca="1" si="4"/>
        <v>1</v>
      </c>
      <c r="H23" s="39">
        <f t="shared" ca="1" si="1"/>
        <v>0</v>
      </c>
      <c r="I23" s="39"/>
      <c r="J23" s="39"/>
      <c r="K23" s="39">
        <f t="shared" ca="1" si="2"/>
        <v>68817</v>
      </c>
      <c r="L23" s="36">
        <f t="shared" ca="1" si="5"/>
        <v>0</v>
      </c>
      <c r="M23" s="36"/>
      <c r="N23" s="36">
        <v>68817</v>
      </c>
      <c r="O23" s="36"/>
      <c r="P23" s="36"/>
      <c r="Q23" s="36"/>
      <c r="R23" s="36"/>
      <c r="S23" s="36"/>
      <c r="T23" s="160"/>
      <c r="U23" s="36"/>
      <c r="V23" s="36"/>
      <c r="W23" s="36"/>
      <c r="X23" s="36"/>
      <c r="Y23" s="36"/>
      <c r="Z23" s="36">
        <f t="shared" si="3"/>
        <v>68817</v>
      </c>
      <c r="AA23" s="36">
        <f t="shared" si="6"/>
        <v>0</v>
      </c>
      <c r="AB23" s="36"/>
      <c r="AC23" s="36"/>
      <c r="AD23" s="36"/>
      <c r="AE23" s="8"/>
      <c r="AF23" s="8"/>
      <c r="AG23" s="9"/>
      <c r="AH23" s="8"/>
      <c r="AI23" s="8"/>
      <c r="AJ23" s="8"/>
    </row>
    <row r="24" spans="1:36" ht="10.5" customHeight="1" x14ac:dyDescent="0.15">
      <c r="A24" s="8" t="s">
        <v>154</v>
      </c>
      <c r="B24" s="45">
        <v>98159</v>
      </c>
      <c r="C24" s="45"/>
      <c r="D24" s="36">
        <f>200000+60000-110000</f>
        <v>150000</v>
      </c>
      <c r="E24" s="36">
        <v>136550</v>
      </c>
      <c r="F24" s="39">
        <f t="shared" ca="1" si="0"/>
        <v>131550</v>
      </c>
      <c r="G24" s="46">
        <f t="shared" ca="1" si="4"/>
        <v>0.96338337605272795</v>
      </c>
      <c r="H24" s="39">
        <f t="shared" ca="1" si="1"/>
        <v>0</v>
      </c>
      <c r="I24" s="39"/>
      <c r="J24" s="39"/>
      <c r="K24" s="39">
        <f t="shared" ca="1" si="2"/>
        <v>131550</v>
      </c>
      <c r="L24" s="36">
        <f t="shared" ca="1" si="5"/>
        <v>-5000</v>
      </c>
      <c r="M24" s="36"/>
      <c r="N24" s="36"/>
      <c r="O24" s="36"/>
      <c r="P24" s="36">
        <f>399838.31-388338.31</f>
        <v>11500</v>
      </c>
      <c r="Q24" s="36"/>
      <c r="R24" s="36">
        <f>423888.31-399838.31</f>
        <v>24050</v>
      </c>
      <c r="S24" s="36"/>
      <c r="T24" s="160">
        <f>405838.31-399838.31+90000</f>
        <v>96000</v>
      </c>
      <c r="U24" s="36"/>
      <c r="V24" s="36"/>
      <c r="W24" s="36"/>
      <c r="X24" s="36"/>
      <c r="Y24" s="36"/>
      <c r="Z24" s="36">
        <f t="shared" si="3"/>
        <v>131550</v>
      </c>
      <c r="AA24" s="36">
        <f t="shared" si="6"/>
        <v>-5000</v>
      </c>
      <c r="AB24" s="36"/>
      <c r="AC24" s="36"/>
      <c r="AD24" s="36"/>
      <c r="AE24" s="8"/>
      <c r="AF24" s="8"/>
      <c r="AG24" s="9"/>
      <c r="AH24" s="8"/>
      <c r="AI24" s="8"/>
      <c r="AJ24" s="8"/>
    </row>
    <row r="25" spans="1:36" ht="10.5" customHeight="1" x14ac:dyDescent="0.15">
      <c r="A25" s="8" t="s">
        <v>340</v>
      </c>
      <c r="B25" s="45">
        <v>99150</v>
      </c>
      <c r="C25" s="45"/>
      <c r="D25" s="36">
        <v>10931</v>
      </c>
      <c r="E25" s="36">
        <v>10931</v>
      </c>
      <c r="F25" s="39">
        <f t="shared" ca="1" si="0"/>
        <v>0</v>
      </c>
      <c r="G25" s="46">
        <f t="shared" ca="1" si="4"/>
        <v>0</v>
      </c>
      <c r="H25" s="39">
        <f t="shared" ca="1" si="1"/>
        <v>10931</v>
      </c>
      <c r="I25" s="39"/>
      <c r="J25" s="39"/>
      <c r="K25" s="39">
        <f t="shared" ca="1" si="2"/>
        <v>10931</v>
      </c>
      <c r="L25" s="36">
        <f t="shared" ca="1" si="5"/>
        <v>0</v>
      </c>
      <c r="M25" s="36"/>
      <c r="N25" s="36"/>
      <c r="O25" s="36"/>
      <c r="P25" s="36"/>
      <c r="Q25" s="36"/>
      <c r="R25" s="36"/>
      <c r="S25" s="36"/>
      <c r="T25" s="160"/>
      <c r="U25" s="36"/>
      <c r="V25" s="36"/>
      <c r="W25" s="36"/>
      <c r="X25" s="36">
        <v>6055</v>
      </c>
      <c r="Y25" s="36">
        <f>10931-6055</f>
        <v>4876</v>
      </c>
      <c r="Z25" s="36">
        <f t="shared" si="3"/>
        <v>10931</v>
      </c>
      <c r="AA25" s="36">
        <f t="shared" si="6"/>
        <v>0</v>
      </c>
      <c r="AB25" s="36"/>
      <c r="AC25" s="36"/>
      <c r="AD25" s="36"/>
      <c r="AE25" s="8"/>
      <c r="AF25" s="8"/>
      <c r="AG25" s="9"/>
      <c r="AH25" s="8"/>
      <c r="AI25" s="8"/>
      <c r="AJ25" s="8"/>
    </row>
    <row r="26" spans="1:36" ht="10.5" customHeight="1" x14ac:dyDescent="0.15">
      <c r="A26" s="8" t="s">
        <v>158</v>
      </c>
      <c r="B26" s="45"/>
      <c r="C26" s="45"/>
      <c r="D26" s="36">
        <v>1098906.9099999999</v>
      </c>
      <c r="E26" s="36">
        <v>1098907</v>
      </c>
      <c r="F26" s="39">
        <f t="shared" ca="1" si="0"/>
        <v>1098906.9099999999</v>
      </c>
      <c r="G26" s="46">
        <f t="shared" ca="1" si="4"/>
        <v>0.99999991810043976</v>
      </c>
      <c r="H26" s="39">
        <f t="shared" ca="1" si="1"/>
        <v>0</v>
      </c>
      <c r="I26" s="39"/>
      <c r="J26" s="39"/>
      <c r="K26" s="39">
        <f t="shared" ca="1" si="2"/>
        <v>1098906.9099999999</v>
      </c>
      <c r="L26" s="36">
        <f t="shared" ca="1" si="5"/>
        <v>-9.0000000083819032E-2</v>
      </c>
      <c r="M26" s="36"/>
      <c r="N26" s="36">
        <v>1098906.9099999999</v>
      </c>
      <c r="O26" s="36"/>
      <c r="P26" s="36"/>
      <c r="Q26" s="36"/>
      <c r="R26" s="36"/>
      <c r="S26" s="36"/>
      <c r="T26" s="160"/>
      <c r="U26" s="36"/>
      <c r="V26" s="36"/>
      <c r="W26" s="36"/>
      <c r="X26" s="36"/>
      <c r="Y26" s="36"/>
      <c r="Z26" s="36">
        <f t="shared" si="3"/>
        <v>1098906.9099999999</v>
      </c>
      <c r="AA26" s="36">
        <f t="shared" si="6"/>
        <v>-9.0000000083819032E-2</v>
      </c>
      <c r="AB26" s="36"/>
      <c r="AC26" s="36"/>
      <c r="AD26" s="36"/>
      <c r="AE26" s="8"/>
      <c r="AF26" s="8"/>
      <c r="AG26" s="9"/>
      <c r="AH26" s="8"/>
      <c r="AI26" s="8"/>
      <c r="AJ26" s="8"/>
    </row>
    <row r="27" spans="1:36" ht="3" customHeight="1" x14ac:dyDescent="0.15">
      <c r="A27" s="8"/>
      <c r="B27" s="8"/>
      <c r="C27" s="8"/>
      <c r="D27" s="36"/>
      <c r="E27" s="36"/>
      <c r="F27" s="39"/>
      <c r="G27" s="46"/>
      <c r="H27" s="39"/>
      <c r="I27" s="39"/>
      <c r="J27" s="39"/>
      <c r="K27" s="39">
        <f t="shared" si="2"/>
        <v>0</v>
      </c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>
        <f t="shared" si="6"/>
        <v>0</v>
      </c>
      <c r="AB27" s="36"/>
      <c r="AC27" s="36"/>
      <c r="AD27" s="36"/>
      <c r="AE27" s="8"/>
      <c r="AF27" s="8"/>
      <c r="AG27" s="9"/>
      <c r="AH27" s="8"/>
      <c r="AI27" s="8"/>
      <c r="AJ27" s="8"/>
    </row>
    <row r="28" spans="1:36" ht="16.5" customHeight="1" x14ac:dyDescent="0.15">
      <c r="A28" s="70" t="s">
        <v>159</v>
      </c>
      <c r="B28" s="70"/>
      <c r="C28" s="70"/>
      <c r="D28" s="188">
        <f>SUM(D13:D27)</f>
        <v>7863124.9100000001</v>
      </c>
      <c r="E28" s="71">
        <f>SUM(E13:E27)</f>
        <v>8357502</v>
      </c>
      <c r="F28" s="71">
        <f ca="1">SUM(F13:F27)</f>
        <v>8303525.4900000002</v>
      </c>
      <c r="G28" s="74">
        <f ca="1">IFERROR(F28/E28,0%)</f>
        <v>0.99354154985544729</v>
      </c>
      <c r="H28" s="71">
        <f ca="1">SUM(H13:H27)</f>
        <v>835399</v>
      </c>
      <c r="I28" s="71"/>
      <c r="J28" s="71">
        <f>SUM(J13:J27)</f>
        <v>0</v>
      </c>
      <c r="K28" s="71">
        <f ca="1">SUM(K13:K27)</f>
        <v>9138924.4900000002</v>
      </c>
      <c r="L28" s="71">
        <f ca="1">SUM(L13:L27)</f>
        <v>781422.49000000057</v>
      </c>
      <c r="M28" s="71"/>
      <c r="N28" s="71">
        <f t="shared" ref="N28:Z28" si="7">SUM(N13:N27)</f>
        <v>4480694.4799999995</v>
      </c>
      <c r="O28" s="71">
        <f t="shared" si="7"/>
        <v>246666.97</v>
      </c>
      <c r="P28" s="71">
        <f t="shared" si="7"/>
        <v>520922.17000000004</v>
      </c>
      <c r="Q28" s="71">
        <f t="shared" si="7"/>
        <v>791920.74000000011</v>
      </c>
      <c r="R28" s="71">
        <f t="shared" si="7"/>
        <v>70867.040000000008</v>
      </c>
      <c r="S28" s="71">
        <f t="shared" si="7"/>
        <v>1364696.25</v>
      </c>
      <c r="T28" s="71">
        <f t="shared" si="7"/>
        <v>676287.2799999998</v>
      </c>
      <c r="U28" s="71">
        <f t="shared" si="7"/>
        <v>78287.240000000296</v>
      </c>
      <c r="V28" s="71">
        <f t="shared" si="7"/>
        <v>20255.890000000109</v>
      </c>
      <c r="W28" s="71">
        <f t="shared" si="7"/>
        <v>52927.43</v>
      </c>
      <c r="X28" s="71">
        <f t="shared" si="7"/>
        <v>31942</v>
      </c>
      <c r="Y28" s="71">
        <f t="shared" si="7"/>
        <v>803457</v>
      </c>
      <c r="Z28" s="71">
        <f t="shared" si="7"/>
        <v>9138924.4900000002</v>
      </c>
      <c r="AA28" s="36">
        <f t="shared" si="6"/>
        <v>781422.49000000022</v>
      </c>
      <c r="AB28" s="36"/>
      <c r="AC28" s="36"/>
      <c r="AD28" s="36"/>
      <c r="AE28" s="8"/>
      <c r="AF28" s="8"/>
      <c r="AG28" s="9"/>
      <c r="AH28" s="8"/>
      <c r="AI28" s="8"/>
      <c r="AJ28" s="8"/>
    </row>
    <row r="29" spans="1:36" ht="4.5" customHeight="1" x14ac:dyDescent="0.15">
      <c r="A29" s="1"/>
      <c r="B29" s="1"/>
      <c r="C29" s="1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6">
        <f t="shared" si="6"/>
        <v>0</v>
      </c>
      <c r="AB29" s="36"/>
      <c r="AC29" s="36"/>
      <c r="AD29" s="36"/>
      <c r="AE29" s="8"/>
      <c r="AF29" s="8"/>
      <c r="AG29" s="9"/>
      <c r="AH29" s="8"/>
      <c r="AI29" s="8"/>
      <c r="AJ29" s="8"/>
    </row>
    <row r="30" spans="1:36" ht="10.5" customHeight="1" x14ac:dyDescent="0.15">
      <c r="A30" s="40" t="s">
        <v>164</v>
      </c>
      <c r="B30" s="41"/>
      <c r="C30" s="41"/>
      <c r="D30" s="4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2"/>
      <c r="AA30" s="36">
        <f t="shared" si="6"/>
        <v>0</v>
      </c>
      <c r="AB30" s="36"/>
      <c r="AC30" s="36"/>
      <c r="AD30" s="36"/>
      <c r="AE30" s="8"/>
      <c r="AF30" s="8"/>
      <c r="AG30" s="9"/>
      <c r="AH30" s="8"/>
      <c r="AI30" s="8"/>
      <c r="AJ30" s="8"/>
    </row>
    <row r="31" spans="1:36" ht="11.25" customHeight="1" x14ac:dyDescent="0.15">
      <c r="A31" s="8" t="s">
        <v>168</v>
      </c>
      <c r="B31" s="45" t="s">
        <v>169</v>
      </c>
      <c r="C31" s="45"/>
      <c r="D31" s="36">
        <f>618000-48000-20000</f>
        <v>550000</v>
      </c>
      <c r="E31" s="36">
        <v>738227</v>
      </c>
      <c r="F31" s="39">
        <f t="shared" ref="F31:F37" ca="1" si="8">SUM(OFFSET(N31,0,0,1,VLOOKUP($L$7,$AG$4:$AH$15,2,FALSE)))</f>
        <v>651835.23</v>
      </c>
      <c r="G31" s="46">
        <f ca="1">IFERROR(F31/E31,0%)</f>
        <v>0.88297397683910228</v>
      </c>
      <c r="H31" s="39">
        <f t="shared" ref="H31:H37" ca="1" si="9">IFERROR(IF($L$7="june",0,SUM(OFFSET(Y31,0,0,1,(VLOOKUP($L$7,$AG$4:$AH$15,2,FALSE)-12)))),0)</f>
        <v>120000</v>
      </c>
      <c r="I31" s="39"/>
      <c r="J31" s="39"/>
      <c r="K31" s="39">
        <f t="shared" ref="K31:K37" ca="1" si="10">H31+F31</f>
        <v>771835.23</v>
      </c>
      <c r="L31" s="36">
        <f ca="1">E31-K31</f>
        <v>-33608.229999999981</v>
      </c>
      <c r="M31" s="86"/>
      <c r="N31" s="36">
        <f>2255.77+11000+25949.81+19634.62+23757.11+7692.3</f>
        <v>90289.61</v>
      </c>
      <c r="O31" s="36">
        <f>6627.7+8461.54+14615.4+21694.08+12647.3+7692.3</f>
        <v>71738.320000000007</v>
      </c>
      <c r="P31" s="36">
        <f>8461.54+14615.4+18663.08+12647.3+7692.3+6627.7</f>
        <v>68707.320000000007</v>
      </c>
      <c r="Q31" s="36">
        <f>4308+8461.54+14615.4+11107.16+12647.3+7692.3</f>
        <v>58831.700000000012</v>
      </c>
      <c r="R31" s="36">
        <f>8461.54+14615.4+10384.62+12647.3+7692.3</f>
        <v>53801.16</v>
      </c>
      <c r="S31" s="36">
        <f>2156.9+12692.31+21923.1+15576.93+18970.95+11538.45</f>
        <v>82858.64</v>
      </c>
      <c r="T31" s="36">
        <f>8461.54+14615.4+10384.62+12647.3+7692.3</f>
        <v>53801.16</v>
      </c>
      <c r="U31" s="36">
        <f>8461.54+14615.4+10384.62+12647.3+7692.3</f>
        <v>53801.16</v>
      </c>
      <c r="V31" s="36">
        <f>8461.54+14615.4+10384.62+12647.3+4076.92+7692.3</f>
        <v>57878.080000000002</v>
      </c>
      <c r="W31" s="36">
        <f>2250+8461.54+14615.4+10384.62+12647.3+4076.92+7692.3</f>
        <v>60128.08</v>
      </c>
      <c r="X31" s="36">
        <v>60000</v>
      </c>
      <c r="Y31" s="36">
        <v>60000</v>
      </c>
      <c r="Z31" s="36">
        <f t="shared" ref="Z31:Z37" si="11">SUM(N31:Y31)</f>
        <v>771835.23</v>
      </c>
      <c r="AA31" s="36">
        <f t="shared" si="6"/>
        <v>33608.229999999981</v>
      </c>
      <c r="AB31" s="36"/>
      <c r="AC31" s="36"/>
      <c r="AD31" s="36"/>
      <c r="AE31" s="8"/>
      <c r="AF31" s="8"/>
      <c r="AG31" s="8"/>
      <c r="AH31" s="8"/>
      <c r="AI31" s="36"/>
      <c r="AJ31" s="8"/>
    </row>
    <row r="32" spans="1:36" ht="11.25" customHeight="1" x14ac:dyDescent="0.15">
      <c r="A32" s="8" t="s">
        <v>172</v>
      </c>
      <c r="B32" s="45" t="s">
        <v>174</v>
      </c>
      <c r="C32" s="45"/>
      <c r="D32" s="36">
        <f>1850000-19715-21123-29572-22040-32000-44643-30000+30000</f>
        <v>1680907</v>
      </c>
      <c r="E32" s="36">
        <v>1640000</v>
      </c>
      <c r="F32" s="39">
        <f t="shared" ca="1" si="8"/>
        <v>1303054.5</v>
      </c>
      <c r="G32" s="46">
        <f t="shared" ref="G32:G37" ca="1" si="12">IFERROR(F32/E32,0%)</f>
        <v>0.79454542682926832</v>
      </c>
      <c r="H32" s="39">
        <f t="shared" ca="1" si="9"/>
        <v>250000</v>
      </c>
      <c r="I32" s="39"/>
      <c r="J32" s="39"/>
      <c r="K32" s="39">
        <f t="shared" ca="1" si="10"/>
        <v>1553054.5</v>
      </c>
      <c r="L32" s="36">
        <f t="shared" ref="L32:L37" ca="1" si="13">E32-K32</f>
        <v>86945.5</v>
      </c>
      <c r="M32" s="86"/>
      <c r="N32" s="36">
        <f>1923.08+152593.3+6634.62+13941.89</f>
        <v>175092.88999999996</v>
      </c>
      <c r="O32" s="36">
        <f>77056.34+4445.19+4224.22</f>
        <v>85725.75</v>
      </c>
      <c r="P32" s="36">
        <f>108560.71+4467.3+15192.32</f>
        <v>128220.33000000002</v>
      </c>
      <c r="Q32" s="36">
        <f>6346.16+107853.08+4467.3+12307.7</f>
        <v>130974.24</v>
      </c>
      <c r="R32" s="36">
        <f>6134.62+110969.24+4467.3+12307.7</f>
        <v>133878.86000000002</v>
      </c>
      <c r="S32" s="36">
        <f>6653.28+151352.06+6700.95+18461.55+4076.92</f>
        <v>187244.76</v>
      </c>
      <c r="T32" s="36">
        <f>-4511.28+96829.46+4467.3+12307.7+4076.92</f>
        <v>113170.1</v>
      </c>
      <c r="U32" s="36">
        <f>-12480.78+94572.06+4467.3+12307.7+4076.92</f>
        <v>102943.2</v>
      </c>
      <c r="V32" s="36">
        <f>103325.28+4467.3+12307.7</f>
        <v>120100.28</v>
      </c>
      <c r="W32" s="36">
        <f>4285+104644.09+4467.3+12307.7</f>
        <v>125704.09</v>
      </c>
      <c r="X32" s="36">
        <v>125000</v>
      </c>
      <c r="Y32" s="36">
        <v>125000</v>
      </c>
      <c r="Z32" s="36">
        <f t="shared" si="11"/>
        <v>1553054.5</v>
      </c>
      <c r="AA32" s="36">
        <f t="shared" si="6"/>
        <v>-86945.5</v>
      </c>
      <c r="AB32" s="36"/>
      <c r="AC32" s="36"/>
      <c r="AD32" s="36"/>
      <c r="AE32" s="8"/>
      <c r="AF32" s="8"/>
      <c r="AG32" s="8"/>
      <c r="AH32" s="8"/>
      <c r="AI32" s="36"/>
      <c r="AJ32" s="8"/>
    </row>
    <row r="33" spans="1:36" ht="11.25" customHeight="1" x14ac:dyDescent="0.15">
      <c r="A33" s="8" t="s">
        <v>13</v>
      </c>
      <c r="B33" s="45">
        <v>51130</v>
      </c>
      <c r="C33" s="45"/>
      <c r="D33" s="36">
        <v>38000</v>
      </c>
      <c r="E33" s="36">
        <v>38000</v>
      </c>
      <c r="F33" s="39">
        <f t="shared" ca="1" si="8"/>
        <v>28481.149999999998</v>
      </c>
      <c r="G33" s="46">
        <f t="shared" ca="1" si="12"/>
        <v>0.74950394736842096</v>
      </c>
      <c r="H33" s="39">
        <f t="shared" ca="1" si="9"/>
        <v>9076.92</v>
      </c>
      <c r="I33" s="39"/>
      <c r="J33" s="39"/>
      <c r="K33" s="39">
        <f t="shared" ca="1" si="10"/>
        <v>37558.07</v>
      </c>
      <c r="L33" s="36">
        <f t="shared" ca="1" si="13"/>
        <v>441.93000000000029</v>
      </c>
      <c r="M33" s="86"/>
      <c r="N33" s="36"/>
      <c r="O33" s="36"/>
      <c r="P33" s="36"/>
      <c r="Q33" s="36"/>
      <c r="R33" s="36">
        <v>3519.62</v>
      </c>
      <c r="S33" s="36">
        <v>6807.69</v>
      </c>
      <c r="T33" s="36">
        <v>4538.46</v>
      </c>
      <c r="U33" s="36">
        <v>4538.46</v>
      </c>
      <c r="V33" s="36">
        <v>4538.46</v>
      </c>
      <c r="W33" s="36">
        <v>4538.46</v>
      </c>
      <c r="X33" s="36">
        <v>4538.46</v>
      </c>
      <c r="Y33" s="36">
        <v>4538.46</v>
      </c>
      <c r="Z33" s="36">
        <f t="shared" si="11"/>
        <v>37558.07</v>
      </c>
      <c r="AA33" s="36">
        <f t="shared" si="6"/>
        <v>-441.93000000000029</v>
      </c>
      <c r="AB33" s="36"/>
      <c r="AC33" s="36"/>
      <c r="AD33" s="36"/>
      <c r="AE33" s="8"/>
      <c r="AF33" s="8"/>
      <c r="AG33" s="8"/>
      <c r="AH33" s="8"/>
      <c r="AI33" s="36"/>
      <c r="AJ33" s="8"/>
    </row>
    <row r="34" spans="1:36" ht="11.25" customHeight="1" x14ac:dyDescent="0.15">
      <c r="A34" s="8" t="s">
        <v>16</v>
      </c>
      <c r="B34" s="45">
        <v>51194</v>
      </c>
      <c r="C34" s="45"/>
      <c r="D34" s="36">
        <v>180000</v>
      </c>
      <c r="E34" s="36">
        <v>185000</v>
      </c>
      <c r="F34" s="39">
        <f t="shared" ca="1" si="8"/>
        <v>160465.16</v>
      </c>
      <c r="G34" s="46">
        <f t="shared" ca="1" si="12"/>
        <v>0.86737924324324323</v>
      </c>
      <c r="H34" s="39">
        <f t="shared" ca="1" si="9"/>
        <v>24250</v>
      </c>
      <c r="I34" s="39"/>
      <c r="J34" s="39"/>
      <c r="K34" s="39">
        <f t="shared" ca="1" si="10"/>
        <v>184715.16</v>
      </c>
      <c r="L34" s="36">
        <f t="shared" ca="1" si="13"/>
        <v>284.83999999999651</v>
      </c>
      <c r="M34" s="86"/>
      <c r="N34" s="36">
        <f>9941.55+5884.61+2000+24541.81</f>
        <v>42367.97</v>
      </c>
      <c r="O34" s="36">
        <f>3076.92+11360.1</f>
        <v>14437.02</v>
      </c>
      <c r="P34" s="36">
        <f>3076.92+8959.62</f>
        <v>12036.54</v>
      </c>
      <c r="Q34" s="36">
        <f>3076.92+9015.87</f>
        <v>12092.79</v>
      </c>
      <c r="R34" s="36">
        <f>3076.92+9047.12</f>
        <v>12124.04</v>
      </c>
      <c r="S34" s="36">
        <f>4615.38+13370.68</f>
        <v>17986.060000000001</v>
      </c>
      <c r="T34" s="36">
        <f>3076.92+8515.87</f>
        <v>11592.79</v>
      </c>
      <c r="U34" s="36">
        <f>3076.92+8905.43</f>
        <v>11982.35</v>
      </c>
      <c r="V34" s="36">
        <f>3076.92+9996.91</f>
        <v>13073.83</v>
      </c>
      <c r="W34" s="36">
        <f>3076.92+9694.85</f>
        <v>12771.77</v>
      </c>
      <c r="X34" s="36">
        <v>12125</v>
      </c>
      <c r="Y34" s="36">
        <v>12125</v>
      </c>
      <c r="Z34" s="36">
        <f t="shared" si="11"/>
        <v>184715.16</v>
      </c>
      <c r="AA34" s="36">
        <f t="shared" si="6"/>
        <v>-284.83999999999651</v>
      </c>
      <c r="AB34" s="36"/>
      <c r="AC34" s="36"/>
      <c r="AD34" s="36"/>
      <c r="AE34" s="8"/>
      <c r="AF34" s="8"/>
      <c r="AG34" s="8"/>
      <c r="AH34" s="8"/>
      <c r="AI34" s="36"/>
      <c r="AJ34" s="8"/>
    </row>
    <row r="35" spans="1:36" ht="11.25" customHeight="1" x14ac:dyDescent="0.15">
      <c r="A35" s="8" t="s">
        <v>319</v>
      </c>
      <c r="B35" s="45">
        <v>51104</v>
      </c>
      <c r="C35" s="45"/>
      <c r="D35" s="36">
        <v>20000</v>
      </c>
      <c r="E35" s="36">
        <v>30000</v>
      </c>
      <c r="F35" s="39">
        <f t="shared" ca="1" si="8"/>
        <v>26481.300000000003</v>
      </c>
      <c r="G35" s="46">
        <f t="shared" ca="1" si="12"/>
        <v>0.88271000000000011</v>
      </c>
      <c r="H35" s="39">
        <f t="shared" ca="1" si="9"/>
        <v>7472</v>
      </c>
      <c r="I35" s="39"/>
      <c r="J35" s="39"/>
      <c r="K35" s="39">
        <f t="shared" ca="1" si="10"/>
        <v>33953.300000000003</v>
      </c>
      <c r="L35" s="36">
        <f t="shared" ca="1" si="13"/>
        <v>-3953.3000000000029</v>
      </c>
      <c r="M35" s="86"/>
      <c r="N35" s="36"/>
      <c r="O35" s="36"/>
      <c r="P35" s="36"/>
      <c r="Q35" s="36"/>
      <c r="R35" s="36"/>
      <c r="S35" s="36"/>
      <c r="T35" s="36">
        <v>15274.2</v>
      </c>
      <c r="U35" s="36">
        <v>3735.7</v>
      </c>
      <c r="V35" s="36">
        <v>3735.7</v>
      </c>
      <c r="W35" s="36">
        <v>3735.7</v>
      </c>
      <c r="X35" s="36">
        <v>3736</v>
      </c>
      <c r="Y35" s="36">
        <v>3736</v>
      </c>
      <c r="Z35" s="36">
        <f t="shared" si="11"/>
        <v>33953.300000000003</v>
      </c>
      <c r="AA35" s="36">
        <f t="shared" si="6"/>
        <v>3953.3000000000029</v>
      </c>
      <c r="AB35" s="36"/>
      <c r="AC35" s="36"/>
      <c r="AD35" s="36"/>
      <c r="AE35" s="8"/>
      <c r="AF35" s="8"/>
      <c r="AG35" s="8"/>
      <c r="AH35" s="8"/>
      <c r="AI35" s="36"/>
      <c r="AJ35" s="8"/>
    </row>
    <row r="36" spans="1:36" ht="11.25" customHeight="1" x14ac:dyDescent="0.15">
      <c r="A36" s="8" t="s">
        <v>320</v>
      </c>
      <c r="B36" s="45">
        <v>51176</v>
      </c>
      <c r="C36" s="45"/>
      <c r="D36" s="36">
        <v>187000</v>
      </c>
      <c r="E36" s="36">
        <v>187000</v>
      </c>
      <c r="F36" s="39">
        <f t="shared" ca="1" si="8"/>
        <v>141867.45000000001</v>
      </c>
      <c r="G36" s="46">
        <f t="shared" ca="1" si="12"/>
        <v>0.75864946524064181</v>
      </c>
      <c r="H36" s="39">
        <f t="shared" ca="1" si="9"/>
        <v>45100</v>
      </c>
      <c r="I36" s="39"/>
      <c r="J36" s="39"/>
      <c r="K36" s="39">
        <f t="shared" ca="1" si="10"/>
        <v>186967.45</v>
      </c>
      <c r="L36" s="36">
        <f t="shared" ca="1" si="13"/>
        <v>32.549999999988358</v>
      </c>
      <c r="M36" s="86"/>
      <c r="N36" s="36">
        <f>5400+51633.29</f>
        <v>57033.29</v>
      </c>
      <c r="O36" s="36">
        <v>9216.66</v>
      </c>
      <c r="P36" s="36">
        <f>3550</f>
        <v>3550</v>
      </c>
      <c r="Q36" s="36">
        <f>200</f>
        <v>200</v>
      </c>
      <c r="R36" s="36">
        <f>14625</f>
        <v>14625</v>
      </c>
      <c r="S36" s="36">
        <f>1000+8000</f>
        <v>9000</v>
      </c>
      <c r="T36" s="36">
        <v>18000</v>
      </c>
      <c r="U36" s="36">
        <f>5167+400</f>
        <v>5567</v>
      </c>
      <c r="V36" s="36">
        <v>2500</v>
      </c>
      <c r="W36" s="36">
        <v>22175.5</v>
      </c>
      <c r="X36" s="36">
        <v>22500</v>
      </c>
      <c r="Y36" s="36">
        <v>22600</v>
      </c>
      <c r="Z36" s="36">
        <f t="shared" si="11"/>
        <v>186967.45</v>
      </c>
      <c r="AA36" s="36">
        <f t="shared" si="6"/>
        <v>-32.549999999988358</v>
      </c>
      <c r="AB36" s="36"/>
      <c r="AC36" s="36"/>
      <c r="AD36" s="36"/>
      <c r="AE36" s="8"/>
      <c r="AF36" s="8"/>
      <c r="AG36" s="8"/>
      <c r="AH36" s="8"/>
      <c r="AI36" s="36"/>
      <c r="AJ36" s="8"/>
    </row>
    <row r="37" spans="1:36" ht="11.25" customHeight="1" x14ac:dyDescent="0.15">
      <c r="A37" s="8"/>
      <c r="B37" s="45"/>
      <c r="C37" s="45"/>
      <c r="D37" s="36"/>
      <c r="E37" s="36"/>
      <c r="F37" s="39">
        <f t="shared" ca="1" si="8"/>
        <v>0</v>
      </c>
      <c r="G37" s="46">
        <f t="shared" ca="1" si="12"/>
        <v>0</v>
      </c>
      <c r="H37" s="39">
        <f t="shared" ca="1" si="9"/>
        <v>0</v>
      </c>
      <c r="I37" s="39"/>
      <c r="J37" s="39"/>
      <c r="K37" s="39">
        <f t="shared" ca="1" si="10"/>
        <v>0</v>
      </c>
      <c r="L37" s="36">
        <f t="shared" ca="1" si="13"/>
        <v>0</v>
      </c>
      <c r="M37" s="86"/>
      <c r="N37" s="36"/>
      <c r="O37" s="36"/>
      <c r="P37" s="36"/>
      <c r="Q37" s="36"/>
      <c r="R37" s="36"/>
      <c r="S37" s="49"/>
      <c r="T37" s="36"/>
      <c r="U37" s="36"/>
      <c r="V37" s="36"/>
      <c r="W37" s="36"/>
      <c r="X37" s="36"/>
      <c r="Y37" s="36"/>
      <c r="Z37" s="36">
        <f t="shared" si="11"/>
        <v>0</v>
      </c>
      <c r="AA37" s="36">
        <f t="shared" si="6"/>
        <v>0</v>
      </c>
      <c r="AB37" s="36"/>
      <c r="AC37" s="36"/>
      <c r="AD37" s="36"/>
      <c r="AE37" s="8"/>
      <c r="AF37" s="8"/>
      <c r="AG37" s="8"/>
      <c r="AH37" s="8"/>
      <c r="AI37" s="36"/>
      <c r="AJ37" s="8"/>
    </row>
    <row r="38" spans="1:36" ht="4.5" customHeight="1" x14ac:dyDescent="0.15">
      <c r="A38" s="8"/>
      <c r="B38" s="45"/>
      <c r="C38" s="45"/>
      <c r="D38" s="36"/>
      <c r="E38" s="36"/>
      <c r="F38" s="39"/>
      <c r="G38" s="46"/>
      <c r="H38" s="39"/>
      <c r="I38" s="39"/>
      <c r="J38" s="39"/>
      <c r="K38" s="39"/>
      <c r="L38" s="36"/>
      <c r="M38" s="36"/>
      <c r="N38" s="36"/>
      <c r="O38" s="36"/>
      <c r="P38" s="36"/>
      <c r="Q38" s="36"/>
      <c r="R38" s="36"/>
      <c r="S38" s="49"/>
      <c r="T38" s="36"/>
      <c r="U38" s="36"/>
      <c r="V38" s="36"/>
      <c r="W38" s="36"/>
      <c r="X38" s="36"/>
      <c r="Y38" s="36"/>
      <c r="Z38" s="36"/>
      <c r="AA38" s="36">
        <f t="shared" si="6"/>
        <v>0</v>
      </c>
      <c r="AB38" s="36"/>
      <c r="AC38" s="36"/>
      <c r="AD38" s="36"/>
      <c r="AE38" s="8"/>
      <c r="AF38" s="8"/>
      <c r="AG38" s="8"/>
      <c r="AH38" s="8"/>
      <c r="AI38" s="36"/>
      <c r="AJ38" s="8"/>
    </row>
    <row r="39" spans="1:36" ht="11.25" customHeight="1" x14ac:dyDescent="0.15">
      <c r="A39" s="1" t="s">
        <v>181</v>
      </c>
      <c r="B39" s="103"/>
      <c r="C39" s="103"/>
      <c r="D39" s="37">
        <f>SUM(D31:D38)</f>
        <v>2655907</v>
      </c>
      <c r="E39" s="37">
        <f>SUM(E31:E38)</f>
        <v>2818227</v>
      </c>
      <c r="F39" s="104">
        <f ca="1">SUM(F31:F38)</f>
        <v>2312184.79</v>
      </c>
      <c r="G39" s="105">
        <f ca="1">IFERROR(F39/E39,0%)</f>
        <v>0.82043951392134129</v>
      </c>
      <c r="H39" s="104">
        <f ca="1">SUM(H31:H38)</f>
        <v>455898.92</v>
      </c>
      <c r="I39" s="104">
        <f>SUM(I31:I37)</f>
        <v>0</v>
      </c>
      <c r="J39" s="104">
        <f>SUM(J31:J38)</f>
        <v>0</v>
      </c>
      <c r="K39" s="104">
        <f ca="1">SUM(K31:K38)</f>
        <v>2768083.71</v>
      </c>
      <c r="L39" s="37">
        <f ca="1">SUM(L31:L38)</f>
        <v>50143.29</v>
      </c>
      <c r="M39" s="86"/>
      <c r="N39" s="37">
        <f t="shared" ref="N39:T39" si="14">SUM(N31:N38)</f>
        <v>364783.75999999995</v>
      </c>
      <c r="O39" s="37">
        <f t="shared" si="14"/>
        <v>181117.75</v>
      </c>
      <c r="P39" s="37">
        <f t="shared" si="14"/>
        <v>212514.19000000003</v>
      </c>
      <c r="Q39" s="37">
        <f t="shared" si="14"/>
        <v>202098.73</v>
      </c>
      <c r="R39" s="37">
        <f t="shared" si="14"/>
        <v>217948.68000000002</v>
      </c>
      <c r="S39" s="59">
        <f t="shared" si="14"/>
        <v>303897.15000000002</v>
      </c>
      <c r="T39" s="59">
        <f t="shared" si="14"/>
        <v>216376.71000000002</v>
      </c>
      <c r="U39" s="37">
        <f>SUM(U31:U38)</f>
        <v>182567.87</v>
      </c>
      <c r="V39" s="37">
        <f>SUM(V31:V38)</f>
        <v>201826.34999999998</v>
      </c>
      <c r="W39" s="37">
        <f>SUM(W31:W38)</f>
        <v>229053.59999999998</v>
      </c>
      <c r="X39" s="37">
        <f>SUM(X31:X38)</f>
        <v>227899.46</v>
      </c>
      <c r="Y39" s="59">
        <f>SUM(Y31:Y38)</f>
        <v>227999.46</v>
      </c>
      <c r="Z39" s="37">
        <f>SUM(Z31:Z37)</f>
        <v>2768083.71</v>
      </c>
      <c r="AA39" s="36">
        <f t="shared" si="6"/>
        <v>-50143.290000000037</v>
      </c>
      <c r="AB39" s="36"/>
      <c r="AC39" s="36"/>
      <c r="AD39" s="36"/>
      <c r="AE39" s="8"/>
      <c r="AF39" s="8"/>
      <c r="AG39" s="8"/>
      <c r="AH39" s="8"/>
      <c r="AI39" s="36"/>
      <c r="AJ39" s="8"/>
    </row>
    <row r="40" spans="1:36" ht="4.5" customHeight="1" x14ac:dyDescent="0.15">
      <c r="A40" s="1"/>
      <c r="B40" s="55"/>
      <c r="C40" s="55"/>
      <c r="D40" s="37"/>
      <c r="E40" s="37"/>
      <c r="F40" s="104"/>
      <c r="G40" s="46"/>
      <c r="H40" s="104"/>
      <c r="I40" s="104"/>
      <c r="J40" s="104"/>
      <c r="K40" s="104"/>
      <c r="L40" s="37"/>
      <c r="M40" s="36"/>
      <c r="N40" s="36"/>
      <c r="O40" s="36"/>
      <c r="P40" s="36"/>
      <c r="Q40" s="36"/>
      <c r="R40" s="36"/>
      <c r="S40" s="49"/>
      <c r="T40" s="36"/>
      <c r="U40" s="36"/>
      <c r="V40" s="36"/>
      <c r="W40" s="36"/>
      <c r="X40" s="36"/>
      <c r="Y40" s="49"/>
      <c r="Z40" s="36"/>
      <c r="AA40" s="36">
        <f t="shared" si="6"/>
        <v>0</v>
      </c>
      <c r="AB40" s="36"/>
      <c r="AC40" s="36"/>
      <c r="AD40" s="36"/>
      <c r="AE40" s="8"/>
      <c r="AF40" s="8"/>
      <c r="AG40" s="8"/>
      <c r="AH40" s="8"/>
      <c r="AI40" s="36"/>
      <c r="AJ40" s="8"/>
    </row>
    <row r="41" spans="1:36" ht="11.25" customHeight="1" x14ac:dyDescent="0.15">
      <c r="A41" s="8" t="s">
        <v>321</v>
      </c>
      <c r="B41" s="45">
        <v>52001</v>
      </c>
      <c r="C41" s="45"/>
      <c r="D41" s="36">
        <f>D39*0.2295</f>
        <v>609530.65650000004</v>
      </c>
      <c r="E41" s="36">
        <v>639438</v>
      </c>
      <c r="F41" s="39">
        <f t="shared" ref="F41:F46" ca="1" si="15">SUM(OFFSET(N41,0,0,1,VLOOKUP($L$7,$AG$4:$AH$15,2,FALSE)))</f>
        <v>524449.74000000011</v>
      </c>
      <c r="G41" s="46">
        <f t="shared" ref="G41:G46" ca="1" si="16">IFERROR(F41/E41,0%)</f>
        <v>0.82017293310688466</v>
      </c>
      <c r="H41" s="39">
        <f t="shared" ref="H41:H46" ca="1" si="17">IFERROR(IF($L$7="june",0,SUM(OFFSET(Y41,0,0,1,(VLOOKUP($L$7,$AG$4:$AH$15,2,FALSE)-12)))),0)</f>
        <v>104628.80214</v>
      </c>
      <c r="I41" s="39"/>
      <c r="J41" s="39"/>
      <c r="K41" s="39">
        <f t="shared" ref="K41:K46" ca="1" si="18">H41+F41</f>
        <v>629078.54214000015</v>
      </c>
      <c r="L41" s="36">
        <f t="shared" ref="L41:L46" ca="1" si="19">E41-K41</f>
        <v>10359.457859999849</v>
      </c>
      <c r="M41" s="36"/>
      <c r="N41" s="36">
        <v>83335.03</v>
      </c>
      <c r="O41" s="36">
        <v>41334.19</v>
      </c>
      <c r="P41" s="36">
        <v>48525.32</v>
      </c>
      <c r="Q41" s="36">
        <v>45777.82</v>
      </c>
      <c r="R41" s="36">
        <v>49586.07</v>
      </c>
      <c r="S41" s="36">
        <v>68145.34</v>
      </c>
      <c r="T41" s="36">
        <v>49071.13</v>
      </c>
      <c r="U41" s="36">
        <v>41300.53</v>
      </c>
      <c r="V41" s="36">
        <v>45726.07</v>
      </c>
      <c r="W41" s="36">
        <v>51648.24</v>
      </c>
      <c r="X41" s="36">
        <f t="shared" ref="X41:Y41" si="20">X39*0.2295</f>
        <v>52302.926070000001</v>
      </c>
      <c r="Y41" s="36">
        <f t="shared" si="20"/>
        <v>52325.876069999998</v>
      </c>
      <c r="Z41" s="36">
        <f t="shared" ref="Z41:Z46" si="21">SUM(N41:Y41)</f>
        <v>629078.54214000015</v>
      </c>
      <c r="AA41" s="36">
        <f t="shared" si="6"/>
        <v>-10359.457859999849</v>
      </c>
      <c r="AB41" s="36"/>
      <c r="AC41" s="36"/>
      <c r="AD41" s="36"/>
      <c r="AE41" s="8"/>
      <c r="AF41" s="8"/>
      <c r="AG41" s="8"/>
      <c r="AH41" s="8"/>
      <c r="AI41" s="36"/>
      <c r="AJ41" s="8"/>
    </row>
    <row r="42" spans="1:36" ht="11.25" customHeight="1" x14ac:dyDescent="0.15">
      <c r="A42" s="8" t="s">
        <v>185</v>
      </c>
      <c r="B42" s="45">
        <v>52002</v>
      </c>
      <c r="C42" s="45"/>
      <c r="D42" s="36">
        <v>422380</v>
      </c>
      <c r="E42" s="36">
        <v>435000</v>
      </c>
      <c r="F42" s="39">
        <f t="shared" ca="1" si="15"/>
        <v>364670.41000000003</v>
      </c>
      <c r="G42" s="46">
        <f t="shared" ca="1" si="16"/>
        <v>0.83832278160919549</v>
      </c>
      <c r="H42" s="39">
        <f t="shared" ca="1" si="17"/>
        <v>74600</v>
      </c>
      <c r="I42" s="39"/>
      <c r="J42" s="39"/>
      <c r="K42" s="39">
        <f t="shared" ca="1" si="18"/>
        <v>439270.41000000003</v>
      </c>
      <c r="L42" s="36">
        <f t="shared" ca="1" si="19"/>
        <v>-4270.4100000000326</v>
      </c>
      <c r="M42" s="36"/>
      <c r="N42" s="36">
        <v>33271.449999999997</v>
      </c>
      <c r="O42" s="36">
        <f>32010.07+4.8+90.85+3.43</f>
        <v>32109.149999999998</v>
      </c>
      <c r="P42" s="36">
        <f>33813.55+32.32</f>
        <v>33845.870000000003</v>
      </c>
      <c r="Q42" s="36">
        <v>33444.18</v>
      </c>
      <c r="R42" s="36">
        <v>35557.269999999997</v>
      </c>
      <c r="S42" s="36">
        <v>37237.33</v>
      </c>
      <c r="T42" s="36">
        <f>37700.94+7126.69</f>
        <v>44827.630000000005</v>
      </c>
      <c r="U42" s="36">
        <v>36720.82</v>
      </c>
      <c r="V42" s="36">
        <v>38007.839999999997</v>
      </c>
      <c r="W42" s="36">
        <f>37281.84+2367.03</f>
        <v>39648.869999999995</v>
      </c>
      <c r="X42" s="36">
        <v>37300</v>
      </c>
      <c r="Y42" s="36">
        <v>37300</v>
      </c>
      <c r="Z42" s="36">
        <f t="shared" si="21"/>
        <v>439270.41000000003</v>
      </c>
      <c r="AA42" s="36">
        <f t="shared" si="6"/>
        <v>4270.4100000000326</v>
      </c>
      <c r="AB42" s="36"/>
      <c r="AC42" s="36"/>
      <c r="AD42" s="36"/>
      <c r="AE42" s="8"/>
      <c r="AF42" s="8"/>
      <c r="AG42" s="8"/>
      <c r="AH42" s="8"/>
      <c r="AI42" s="36"/>
      <c r="AJ42" s="8"/>
    </row>
    <row r="43" spans="1:36" ht="11.25" customHeight="1" x14ac:dyDescent="0.15">
      <c r="A43" s="8" t="s">
        <v>188</v>
      </c>
      <c r="B43" s="45">
        <v>52005</v>
      </c>
      <c r="C43" s="45"/>
      <c r="D43" s="36">
        <f>D39*0.0155</f>
        <v>41166.558499999999</v>
      </c>
      <c r="E43" s="36">
        <v>43423</v>
      </c>
      <c r="F43" s="39">
        <f t="shared" ca="1" si="15"/>
        <v>35839.68</v>
      </c>
      <c r="G43" s="46">
        <f t="shared" ca="1" si="16"/>
        <v>0.82536167468852917</v>
      </c>
      <c r="H43" s="39">
        <f t="shared" ca="1" si="17"/>
        <v>7066.4332599999998</v>
      </c>
      <c r="I43" s="39"/>
      <c r="J43" s="39"/>
      <c r="K43" s="39">
        <f t="shared" ca="1" si="18"/>
        <v>42906.113259999998</v>
      </c>
      <c r="L43" s="36">
        <f t="shared" ca="1" si="19"/>
        <v>516.88674000000174</v>
      </c>
      <c r="M43" s="36"/>
      <c r="N43" s="36">
        <v>5654.28</v>
      </c>
      <c r="O43" s="36">
        <v>2807.41</v>
      </c>
      <c r="P43" s="36">
        <v>3294.03</v>
      </c>
      <c r="Q43" s="36">
        <v>3132.6</v>
      </c>
      <c r="R43" s="36">
        <v>3378.27</v>
      </c>
      <c r="S43" s="36">
        <v>4710.51</v>
      </c>
      <c r="T43" s="36">
        <v>3353.92</v>
      </c>
      <c r="U43" s="36">
        <v>2829.89</v>
      </c>
      <c r="V43" s="36">
        <v>3128.38</v>
      </c>
      <c r="W43" s="36">
        <v>3550.39</v>
      </c>
      <c r="X43" s="36">
        <f t="shared" ref="X43:Y43" si="22">X39*0.0155</f>
        <v>3532.4416299999998</v>
      </c>
      <c r="Y43" s="36">
        <f t="shared" si="22"/>
        <v>3533.99163</v>
      </c>
      <c r="Z43" s="36">
        <f t="shared" si="21"/>
        <v>42906.113259999998</v>
      </c>
      <c r="AA43" s="36">
        <f t="shared" si="6"/>
        <v>-516.88674000000174</v>
      </c>
      <c r="AB43" s="36"/>
      <c r="AC43" s="36"/>
      <c r="AD43" s="36"/>
      <c r="AE43" s="8"/>
      <c r="AF43" s="8"/>
      <c r="AG43" s="8"/>
      <c r="AH43" s="8"/>
      <c r="AI43" s="36"/>
      <c r="AJ43" s="8"/>
    </row>
    <row r="44" spans="1:36" ht="11.25" customHeight="1" x14ac:dyDescent="0.15">
      <c r="A44" s="8" t="s">
        <v>196</v>
      </c>
      <c r="B44" s="45">
        <v>52006</v>
      </c>
      <c r="C44" s="45"/>
      <c r="D44" s="36">
        <f>D39*0.062</f>
        <v>164666.234</v>
      </c>
      <c r="E44" s="36">
        <v>171308</v>
      </c>
      <c r="F44" s="39">
        <f t="shared" ca="1" si="15"/>
        <v>139783.91999999998</v>
      </c>
      <c r="G44" s="46">
        <f t="shared" ca="1" si="16"/>
        <v>0.81598010600789217</v>
      </c>
      <c r="H44" s="39">
        <f t="shared" ca="1" si="17"/>
        <v>28265.733039999999</v>
      </c>
      <c r="I44" s="39"/>
      <c r="J44" s="39"/>
      <c r="K44" s="39">
        <f t="shared" ca="1" si="18"/>
        <v>168049.65303999998</v>
      </c>
      <c r="L44" s="36">
        <f t="shared" ca="1" si="19"/>
        <v>3258.3469600000244</v>
      </c>
      <c r="M44" s="36"/>
      <c r="N44" s="36">
        <v>22242.19</v>
      </c>
      <c r="O44" s="36">
        <v>10883.92</v>
      </c>
      <c r="P44" s="36">
        <v>12702.11</v>
      </c>
      <c r="Q44" s="36">
        <v>12061.72</v>
      </c>
      <c r="R44" s="36">
        <v>13162.22</v>
      </c>
      <c r="S44" s="36">
        <v>18471.37</v>
      </c>
      <c r="T44" s="36">
        <v>13033.29</v>
      </c>
      <c r="U44" s="36">
        <v>11109.9</v>
      </c>
      <c r="V44" s="36">
        <v>12300.12</v>
      </c>
      <c r="W44" s="36">
        <v>13817.08</v>
      </c>
      <c r="X44" s="36">
        <f t="shared" ref="X44:Y44" si="23">X39*0.062</f>
        <v>14129.766519999999</v>
      </c>
      <c r="Y44" s="36">
        <f t="shared" si="23"/>
        <v>14135.96652</v>
      </c>
      <c r="Z44" s="36">
        <f t="shared" si="21"/>
        <v>168049.65303999998</v>
      </c>
      <c r="AA44" s="36">
        <f t="shared" si="6"/>
        <v>-3258.3469600000244</v>
      </c>
      <c r="AB44" s="36"/>
      <c r="AC44" s="36"/>
      <c r="AD44" s="36"/>
      <c r="AE44" s="8"/>
      <c r="AF44" s="8"/>
      <c r="AG44" s="8"/>
      <c r="AH44" s="8"/>
      <c r="AI44" s="36"/>
      <c r="AJ44" s="8"/>
    </row>
    <row r="45" spans="1:36" ht="11.25" customHeight="1" x14ac:dyDescent="0.15">
      <c r="A45" s="8" t="s">
        <v>204</v>
      </c>
      <c r="B45" s="45">
        <v>52009</v>
      </c>
      <c r="C45" s="45"/>
      <c r="D45" s="36">
        <f>D39*0.0011</f>
        <v>2921.4977000000003</v>
      </c>
      <c r="E45" s="36">
        <v>3100</v>
      </c>
      <c r="F45" s="39">
        <f t="shared" ca="1" si="15"/>
        <v>2549.35</v>
      </c>
      <c r="G45" s="46">
        <f t="shared" ca="1" si="16"/>
        <v>0.82237096774193541</v>
      </c>
      <c r="H45" s="39">
        <f t="shared" ca="1" si="17"/>
        <v>501.48881200000005</v>
      </c>
      <c r="I45" s="39"/>
      <c r="J45" s="39"/>
      <c r="K45" s="39">
        <f t="shared" ca="1" si="18"/>
        <v>3050.838812</v>
      </c>
      <c r="L45" s="36">
        <f t="shared" ca="1" si="19"/>
        <v>49.161188000000038</v>
      </c>
      <c r="M45" s="36"/>
      <c r="N45" s="36">
        <v>401.31</v>
      </c>
      <c r="O45" s="36">
        <v>199.18</v>
      </c>
      <c r="P45" s="36">
        <v>233.76</v>
      </c>
      <c r="Q45" s="36">
        <v>222.26</v>
      </c>
      <c r="R45" s="36">
        <v>239.78</v>
      </c>
      <c r="S45" s="36">
        <v>334.29</v>
      </c>
      <c r="T45" s="36">
        <v>238</v>
      </c>
      <c r="U45" s="36">
        <v>203.94</v>
      </c>
      <c r="V45" s="36">
        <v>225.06</v>
      </c>
      <c r="W45" s="36">
        <v>251.77</v>
      </c>
      <c r="X45" s="36">
        <f t="shared" ref="X45:Y45" si="24">X39*0.0011</f>
        <v>250.68940600000002</v>
      </c>
      <c r="Y45" s="36">
        <f t="shared" si="24"/>
        <v>250.799406</v>
      </c>
      <c r="Z45" s="36">
        <f t="shared" si="21"/>
        <v>3050.838812</v>
      </c>
      <c r="AA45" s="36">
        <f t="shared" si="6"/>
        <v>-49.161188000000038</v>
      </c>
      <c r="AB45" s="36"/>
      <c r="AC45" s="36"/>
      <c r="AD45" s="36"/>
      <c r="AE45" s="8"/>
      <c r="AF45" s="8"/>
      <c r="AG45" s="8"/>
      <c r="AH45" s="8"/>
      <c r="AI45" s="36"/>
      <c r="AJ45" s="8"/>
    </row>
    <row r="46" spans="1:36" ht="11.25" customHeight="1" x14ac:dyDescent="0.15">
      <c r="A46" s="8" t="s">
        <v>210</v>
      </c>
      <c r="B46" s="45">
        <v>52016</v>
      </c>
      <c r="C46" s="45"/>
      <c r="D46" s="36">
        <f>D39*0.0145</f>
        <v>38510.6515</v>
      </c>
      <c r="E46" s="36">
        <v>41000</v>
      </c>
      <c r="F46" s="39">
        <f t="shared" ca="1" si="15"/>
        <v>32691.440000000002</v>
      </c>
      <c r="G46" s="46">
        <f t="shared" ca="1" si="16"/>
        <v>0.79735219512195132</v>
      </c>
      <c r="H46" s="39">
        <f t="shared" ca="1" si="17"/>
        <v>6610.5343400000002</v>
      </c>
      <c r="I46" s="39"/>
      <c r="J46" s="39"/>
      <c r="K46" s="39">
        <f t="shared" ca="1" si="18"/>
        <v>39301.974340000001</v>
      </c>
      <c r="L46" s="36">
        <f t="shared" ca="1" si="19"/>
        <v>1698.0256599999993</v>
      </c>
      <c r="M46" s="36"/>
      <c r="N46" s="36">
        <v>5201.8100000000004</v>
      </c>
      <c r="O46" s="36">
        <v>2545.44</v>
      </c>
      <c r="P46" s="36">
        <v>2970.59</v>
      </c>
      <c r="Q46" s="36">
        <v>2820.93</v>
      </c>
      <c r="R46" s="36">
        <v>3078.25</v>
      </c>
      <c r="S46" s="36">
        <v>4319.93</v>
      </c>
      <c r="T46" s="36">
        <v>3048.1</v>
      </c>
      <c r="U46" s="36">
        <v>2598.29</v>
      </c>
      <c r="V46" s="36">
        <v>2876.68</v>
      </c>
      <c r="W46" s="36">
        <v>3231.42</v>
      </c>
      <c r="X46" s="36">
        <f t="shared" ref="X46:Y46" si="25">X39*0.0145</f>
        <v>3304.5421700000002</v>
      </c>
      <c r="Y46" s="36">
        <f t="shared" si="25"/>
        <v>3305.99217</v>
      </c>
      <c r="Z46" s="36">
        <f t="shared" si="21"/>
        <v>39301.974340000001</v>
      </c>
      <c r="AA46" s="36">
        <f t="shared" si="6"/>
        <v>-1698.0256599999993</v>
      </c>
      <c r="AB46" s="36"/>
      <c r="AC46" s="36"/>
      <c r="AD46" s="36"/>
      <c r="AE46" s="8"/>
      <c r="AF46" s="8"/>
      <c r="AG46" s="8"/>
      <c r="AH46" s="8"/>
      <c r="AI46" s="36"/>
      <c r="AJ46" s="8"/>
    </row>
    <row r="47" spans="1:36" ht="12.75" customHeight="1" x14ac:dyDescent="0.15">
      <c r="A47" s="1" t="s">
        <v>217</v>
      </c>
      <c r="B47" s="55"/>
      <c r="C47" s="55"/>
      <c r="D47" s="37">
        <f>SUM(D41:D46)</f>
        <v>1279175.5981999999</v>
      </c>
      <c r="E47" s="37">
        <f>SUM(E41:E46)</f>
        <v>1333269</v>
      </c>
      <c r="F47" s="104">
        <f ca="1">SUM(F41:F46)</f>
        <v>1099984.5400000003</v>
      </c>
      <c r="G47" s="105">
        <f ca="1">IFERROR(F47/E47,0%)</f>
        <v>0.82502821261125869</v>
      </c>
      <c r="H47" s="104">
        <f ca="1">SUM(H41:H46)</f>
        <v>221672.99159199998</v>
      </c>
      <c r="I47" s="104">
        <f>SUM(I41:I46)</f>
        <v>0</v>
      </c>
      <c r="J47" s="104">
        <f>SUM(J41:J46)</f>
        <v>0</v>
      </c>
      <c r="K47" s="104">
        <f ca="1">SUM(K41:K46)</f>
        <v>1321657.531592</v>
      </c>
      <c r="L47" s="37">
        <f ca="1">SUM(L41:L46)</f>
        <v>11611.468407999842</v>
      </c>
      <c r="M47" s="36"/>
      <c r="N47" s="37">
        <f t="shared" ref="N47:T47" si="26">SUM(N41:N46)</f>
        <v>150106.06999999998</v>
      </c>
      <c r="O47" s="37">
        <f t="shared" si="26"/>
        <v>89879.29</v>
      </c>
      <c r="P47" s="37">
        <f t="shared" si="26"/>
        <v>101571.68</v>
      </c>
      <c r="Q47" s="37">
        <f t="shared" si="26"/>
        <v>97459.51</v>
      </c>
      <c r="R47" s="37">
        <f t="shared" si="26"/>
        <v>105001.86</v>
      </c>
      <c r="S47" s="59">
        <f t="shared" si="26"/>
        <v>133218.76999999999</v>
      </c>
      <c r="T47" s="59">
        <f t="shared" si="26"/>
        <v>113572.07</v>
      </c>
      <c r="U47" s="37">
        <f t="shared" ref="U47:Z47" si="27">SUM(U41:U46)</f>
        <v>94763.37</v>
      </c>
      <c r="V47" s="37">
        <f t="shared" si="27"/>
        <v>102264.15</v>
      </c>
      <c r="W47" s="37">
        <f t="shared" si="27"/>
        <v>112147.76999999999</v>
      </c>
      <c r="X47" s="37">
        <f t="shared" si="27"/>
        <v>110820.36579600001</v>
      </c>
      <c r="Y47" s="59">
        <f t="shared" si="27"/>
        <v>110852.62579600001</v>
      </c>
      <c r="Z47" s="37">
        <f t="shared" si="27"/>
        <v>1321657.531592</v>
      </c>
      <c r="AA47" s="36">
        <f t="shared" si="6"/>
        <v>-11611.468407999957</v>
      </c>
      <c r="AB47" s="36"/>
      <c r="AC47" s="36"/>
      <c r="AD47" s="36"/>
      <c r="AE47" s="8"/>
      <c r="AF47" s="8"/>
      <c r="AG47" s="8"/>
      <c r="AH47" s="8"/>
      <c r="AI47" s="36"/>
      <c r="AJ47" s="8"/>
    </row>
    <row r="48" spans="1:36" ht="4.5" customHeight="1" x14ac:dyDescent="0.15">
      <c r="A48" s="1"/>
      <c r="B48" s="55"/>
      <c r="C48" s="55"/>
      <c r="D48" s="37"/>
      <c r="E48" s="37"/>
      <c r="F48" s="104"/>
      <c r="G48" s="46"/>
      <c r="H48" s="104"/>
      <c r="I48" s="104"/>
      <c r="J48" s="104"/>
      <c r="K48" s="104"/>
      <c r="L48" s="37"/>
      <c r="M48" s="36"/>
      <c r="N48" s="36"/>
      <c r="O48" s="36"/>
      <c r="P48" s="36"/>
      <c r="Q48" s="36"/>
      <c r="R48" s="36"/>
      <c r="S48" s="49"/>
      <c r="T48" s="36"/>
      <c r="U48" s="36"/>
      <c r="V48" s="36"/>
      <c r="W48" s="36"/>
      <c r="X48" s="36"/>
      <c r="Y48" s="49"/>
      <c r="Z48" s="36"/>
      <c r="AA48" s="36">
        <f t="shared" si="6"/>
        <v>0</v>
      </c>
      <c r="AB48" s="36"/>
      <c r="AC48" s="36"/>
      <c r="AD48" s="36"/>
      <c r="AE48" s="8"/>
      <c r="AF48" s="8"/>
      <c r="AG48" s="8"/>
      <c r="AH48" s="8"/>
      <c r="AI48" s="36"/>
      <c r="AJ48" s="8"/>
    </row>
    <row r="49" spans="1:36" ht="11.25" customHeight="1" x14ac:dyDescent="0.15">
      <c r="A49" s="1" t="s">
        <v>222</v>
      </c>
      <c r="B49" s="55">
        <v>54000</v>
      </c>
      <c r="C49" s="55" t="s">
        <v>223</v>
      </c>
      <c r="D49" s="37">
        <v>5000</v>
      </c>
      <c r="E49" s="37">
        <v>4200</v>
      </c>
      <c r="F49" s="104">
        <f ca="1">SUM(OFFSET(N49,0,0,1,VLOOKUP($L$7,$AG$4:$AH$15,2,FALSE)))</f>
        <v>1018.4</v>
      </c>
      <c r="G49" s="105">
        <f ca="1">IFERROR(F49/E49,0%)</f>
        <v>0.24247619047619048</v>
      </c>
      <c r="H49" s="104">
        <f ca="1">IFERROR(IF($L$7="june",0,SUM(OFFSET(Y49,0,0,1,(VLOOKUP($L$7,$AG$4:$AH$15,2,FALSE)-12)))),0)</f>
        <v>0</v>
      </c>
      <c r="I49" s="104"/>
      <c r="J49" s="104">
        <v>0</v>
      </c>
      <c r="K49" s="104">
        <f ca="1">H49+F49</f>
        <v>1018.4</v>
      </c>
      <c r="L49" s="37">
        <f ca="1">+E49-K49</f>
        <v>3181.6</v>
      </c>
      <c r="M49" s="135"/>
      <c r="N49" s="37"/>
      <c r="O49" s="37">
        <f>202.4+16</f>
        <v>218.4</v>
      </c>
      <c r="P49" s="37">
        <v>400</v>
      </c>
      <c r="Q49" s="37">
        <v>400</v>
      </c>
      <c r="R49" s="37"/>
      <c r="S49" s="37"/>
      <c r="T49" s="37"/>
      <c r="U49" s="37"/>
      <c r="V49" s="37"/>
      <c r="W49" s="37"/>
      <c r="X49" s="37"/>
      <c r="Y49" s="37"/>
      <c r="Z49" s="37">
        <f>SUM(N49:Y49)</f>
        <v>1018.4</v>
      </c>
      <c r="AA49" s="36">
        <f t="shared" si="6"/>
        <v>-3181.6</v>
      </c>
      <c r="AB49" s="36"/>
      <c r="AC49" s="36"/>
      <c r="AD49" s="36"/>
      <c r="AE49" s="138"/>
      <c r="AF49" s="138"/>
      <c r="AG49" s="8"/>
      <c r="AH49" s="138"/>
      <c r="AI49" s="36"/>
      <c r="AJ49" s="138"/>
    </row>
    <row r="50" spans="1:36" ht="4.5" customHeight="1" x14ac:dyDescent="0.15">
      <c r="A50" s="1"/>
      <c r="B50" s="55"/>
      <c r="C50" s="55"/>
      <c r="D50" s="37"/>
      <c r="E50" s="37"/>
      <c r="F50" s="104"/>
      <c r="G50" s="46"/>
      <c r="H50" s="104"/>
      <c r="I50" s="104"/>
      <c r="J50" s="104"/>
      <c r="K50" s="104"/>
      <c r="L50" s="37"/>
      <c r="M50" s="135"/>
      <c r="N50" s="135"/>
      <c r="O50" s="135"/>
      <c r="P50" s="135"/>
      <c r="Q50" s="135"/>
      <c r="R50" s="135"/>
      <c r="S50" s="135"/>
      <c r="T50" s="135"/>
      <c r="U50" s="135"/>
      <c r="V50" s="135"/>
      <c r="W50" s="135"/>
      <c r="X50" s="135"/>
      <c r="Y50" s="49"/>
      <c r="Z50" s="135"/>
      <c r="AA50" s="36">
        <f t="shared" si="6"/>
        <v>0</v>
      </c>
      <c r="AB50" s="36"/>
      <c r="AC50" s="36"/>
      <c r="AD50" s="36"/>
      <c r="AE50" s="138"/>
      <c r="AF50" s="138"/>
      <c r="AG50" s="8"/>
      <c r="AH50" s="138"/>
      <c r="AI50" s="36"/>
      <c r="AJ50" s="138"/>
    </row>
    <row r="51" spans="1:36" ht="11.25" customHeight="1" x14ac:dyDescent="0.15">
      <c r="A51" s="8" t="s">
        <v>233</v>
      </c>
      <c r="B51" s="45">
        <v>55035</v>
      </c>
      <c r="C51" s="45" t="s">
        <v>234</v>
      </c>
      <c r="D51" s="36">
        <v>195000</v>
      </c>
      <c r="E51" s="36">
        <v>195000</v>
      </c>
      <c r="F51" s="39">
        <f t="shared" ref="F51:F77" ca="1" si="28">SUM(OFFSET(N51,0,0,1,VLOOKUP($L$7,$AG$4:$AH$15,2,FALSE)))</f>
        <v>169861.41999999998</v>
      </c>
      <c r="G51" s="46">
        <f t="shared" ref="G51:G77" ca="1" si="29">IFERROR(F51/E51,0%)</f>
        <v>0.87108420512820506</v>
      </c>
      <c r="H51" s="39">
        <f t="shared" ref="H51:H77" ca="1" si="30">IFERROR(IF($L$7="june",0,SUM(OFFSET(Y51,0,0,1,(VLOOKUP($L$7,$AG$4:$AH$15,2,FALSE)-12)))),0)</f>
        <v>25000</v>
      </c>
      <c r="I51" s="39"/>
      <c r="J51" s="39"/>
      <c r="K51" s="39">
        <f t="shared" ref="K51:K77" ca="1" si="31">H51+F51</f>
        <v>194861.41999999998</v>
      </c>
      <c r="L51" s="36">
        <f ca="1">E51-K51</f>
        <v>138.5800000000163</v>
      </c>
      <c r="M51" s="36"/>
      <c r="N51" s="36">
        <f>-700+1640+1180</f>
        <v>2120</v>
      </c>
      <c r="O51" s="36">
        <f>10000</f>
        <v>10000</v>
      </c>
      <c r="P51" s="36">
        <f>3040+13891.07+81524.64</f>
        <v>98455.709999999992</v>
      </c>
      <c r="Q51" s="36">
        <v>3660</v>
      </c>
      <c r="R51" s="36">
        <f>700+22520</f>
        <v>23220</v>
      </c>
      <c r="S51" s="36">
        <f>61483.83+5778.34+12041.99-8953.58-476-59.5-7960-5400-9560-5024.75-19500-5000-3750</f>
        <v>13620.330000000002</v>
      </c>
      <c r="T51" s="36">
        <f>2000+985.38</f>
        <v>2985.38</v>
      </c>
      <c r="U51" s="36">
        <f>1860</f>
        <v>1860</v>
      </c>
      <c r="V51" s="36">
        <f>1000+1940</f>
        <v>2940</v>
      </c>
      <c r="W51" s="36">
        <v>11000</v>
      </c>
      <c r="X51" s="36">
        <v>13000</v>
      </c>
      <c r="Y51" s="36">
        <v>12000</v>
      </c>
      <c r="Z51" s="36">
        <f t="shared" ref="Z51:Z77" si="32">SUM(N51:Y51)</f>
        <v>194861.41999999998</v>
      </c>
      <c r="AA51" s="36">
        <f t="shared" si="6"/>
        <v>-138.5800000000163</v>
      </c>
      <c r="AB51" s="36"/>
      <c r="AC51" s="36"/>
      <c r="AD51" s="36"/>
      <c r="AE51" s="8"/>
      <c r="AF51" s="8"/>
      <c r="AG51" s="8"/>
      <c r="AH51" s="8"/>
      <c r="AI51" s="36"/>
      <c r="AJ51" s="8"/>
    </row>
    <row r="52" spans="1:36" ht="11.25" customHeight="1" x14ac:dyDescent="0.15">
      <c r="A52" s="8" t="s">
        <v>242</v>
      </c>
      <c r="B52" s="45">
        <v>55051</v>
      </c>
      <c r="C52" s="45" t="s">
        <v>234</v>
      </c>
      <c r="D52" s="36">
        <v>0</v>
      </c>
      <c r="E52" s="36">
        <v>0</v>
      </c>
      <c r="F52" s="39">
        <f t="shared" ca="1" si="28"/>
        <v>0</v>
      </c>
      <c r="G52" s="46">
        <f t="shared" ca="1" si="29"/>
        <v>0</v>
      </c>
      <c r="H52" s="39">
        <f t="shared" ca="1" si="30"/>
        <v>0</v>
      </c>
      <c r="I52" s="39"/>
      <c r="J52" s="39"/>
      <c r="K52" s="39">
        <f t="shared" ca="1" si="31"/>
        <v>0</v>
      </c>
      <c r="L52" s="36">
        <f t="shared" ref="L52:L77" ca="1" si="33">E52-K52</f>
        <v>0</v>
      </c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>
        <f t="shared" si="32"/>
        <v>0</v>
      </c>
      <c r="AA52" s="36">
        <f t="shared" si="6"/>
        <v>0</v>
      </c>
      <c r="AB52" s="36"/>
      <c r="AC52" s="36"/>
      <c r="AD52" s="36"/>
      <c r="AE52" s="8"/>
      <c r="AF52" s="8"/>
      <c r="AG52" s="8"/>
      <c r="AH52" s="8"/>
      <c r="AI52" s="36"/>
      <c r="AJ52" s="8"/>
    </row>
    <row r="53" spans="1:36" ht="11.25" customHeight="1" x14ac:dyDescent="0.15">
      <c r="A53" s="8" t="s">
        <v>244</v>
      </c>
      <c r="B53" s="45" t="s">
        <v>245</v>
      </c>
      <c r="C53" s="45" t="s">
        <v>234</v>
      </c>
      <c r="D53" s="36">
        <f>190000-20000</f>
        <v>170000</v>
      </c>
      <c r="E53" s="36">
        <v>150000</v>
      </c>
      <c r="F53" s="39">
        <f t="shared" ca="1" si="28"/>
        <v>80325.08</v>
      </c>
      <c r="G53" s="46">
        <f t="shared" ca="1" si="29"/>
        <v>0.53550053333333336</v>
      </c>
      <c r="H53" s="39">
        <f t="shared" ca="1" si="30"/>
        <v>30000</v>
      </c>
      <c r="I53" s="39"/>
      <c r="J53" s="39"/>
      <c r="K53" s="39">
        <f t="shared" ca="1" si="31"/>
        <v>110325.08</v>
      </c>
      <c r="L53" s="36">
        <f t="shared" ca="1" si="33"/>
        <v>39674.92</v>
      </c>
      <c r="M53" s="36"/>
      <c r="N53" s="36">
        <v>5236</v>
      </c>
      <c r="O53" s="36">
        <v>2075</v>
      </c>
      <c r="P53" s="36">
        <v>30000</v>
      </c>
      <c r="Q53" s="36">
        <f>2580+200</f>
        <v>2780</v>
      </c>
      <c r="R53" s="36">
        <v>505</v>
      </c>
      <c r="S53" s="36">
        <v>395</v>
      </c>
      <c r="T53" s="36">
        <f>25+21428.58-1480-8553.58</f>
        <v>11420.000000000002</v>
      </c>
      <c r="U53" s="36">
        <f>180+9953.58</f>
        <v>10133.58</v>
      </c>
      <c r="V53" s="36">
        <v>295</v>
      </c>
      <c r="W53" s="36">
        <f>25999.08+190-8703.58</f>
        <v>17485.5</v>
      </c>
      <c r="X53" s="36">
        <v>15000</v>
      </c>
      <c r="Y53" s="36">
        <v>15000</v>
      </c>
      <c r="Z53" s="36">
        <f t="shared" si="32"/>
        <v>110325.08</v>
      </c>
      <c r="AA53" s="36">
        <f t="shared" si="6"/>
        <v>-39674.92</v>
      </c>
      <c r="AB53" s="36"/>
      <c r="AC53" s="36"/>
      <c r="AD53" s="36"/>
      <c r="AE53" s="8"/>
      <c r="AF53" s="8"/>
      <c r="AG53" s="8"/>
      <c r="AH53" s="8"/>
      <c r="AI53" s="36"/>
      <c r="AJ53" s="8"/>
    </row>
    <row r="54" spans="1:36" ht="11.25" customHeight="1" x14ac:dyDescent="0.15">
      <c r="A54" s="8" t="s">
        <v>246</v>
      </c>
      <c r="B54" s="45">
        <v>55033</v>
      </c>
      <c r="C54" s="45" t="s">
        <v>234</v>
      </c>
      <c r="D54" s="36">
        <f>180000-20000</f>
        <v>160000</v>
      </c>
      <c r="E54" s="36">
        <v>178000</v>
      </c>
      <c r="F54" s="39">
        <f t="shared" ca="1" si="28"/>
        <v>155218.61000000002</v>
      </c>
      <c r="G54" s="46">
        <f t="shared" ca="1" si="29"/>
        <v>0.87201466292134844</v>
      </c>
      <c r="H54" s="39">
        <f t="shared" ca="1" si="30"/>
        <v>22483.714285714286</v>
      </c>
      <c r="I54" s="39"/>
      <c r="J54" s="39"/>
      <c r="K54" s="39">
        <f t="shared" ca="1" si="31"/>
        <v>177702.32428571431</v>
      </c>
      <c r="L54" s="36">
        <f t="shared" ca="1" si="33"/>
        <v>297.67571428569499</v>
      </c>
      <c r="M54" s="36"/>
      <c r="N54" s="36">
        <f>21517.44-1599-1599-1640-1180</f>
        <v>15499.439999999999</v>
      </c>
      <c r="O54" s="36">
        <f>21146.38+30760.7-8715</f>
        <v>43192.08</v>
      </c>
      <c r="P54" s="36">
        <f>3000+15691.5</f>
        <v>18691.5</v>
      </c>
      <c r="Q54" s="36">
        <f>2500</f>
        <v>2500</v>
      </c>
      <c r="R54" s="36">
        <f>10875.57-8953.58</f>
        <v>1921.9899999999998</v>
      </c>
      <c r="S54" s="36">
        <f>476+59.5+7960+5400+9560+5024.75</f>
        <v>28480.25</v>
      </c>
      <c r="T54" s="36"/>
      <c r="U54" s="36">
        <f>6476.84+5349</f>
        <v>11825.84</v>
      </c>
      <c r="V54" s="36">
        <v>14060</v>
      </c>
      <c r="W54" s="36">
        <f>10100+406.51-1599+10140</f>
        <v>19047.510000000002</v>
      </c>
      <c r="X54" s="36">
        <f t="shared" ref="X54" si="34">78195/7</f>
        <v>11170.714285714286</v>
      </c>
      <c r="Y54" s="36">
        <v>11313</v>
      </c>
      <c r="Z54" s="36">
        <f t="shared" si="32"/>
        <v>177702.32428571431</v>
      </c>
      <c r="AA54" s="36">
        <f t="shared" si="6"/>
        <v>-297.67571428569499</v>
      </c>
      <c r="AB54" s="36"/>
      <c r="AC54" s="36"/>
      <c r="AD54" s="36"/>
      <c r="AE54" s="8"/>
      <c r="AF54" s="8"/>
      <c r="AG54" s="8"/>
      <c r="AH54" s="8"/>
      <c r="AI54" s="36"/>
      <c r="AJ54" s="8"/>
    </row>
    <row r="55" spans="1:36" ht="11.25" customHeight="1" x14ac:dyDescent="0.15">
      <c r="A55" s="8" t="s">
        <v>247</v>
      </c>
      <c r="B55" s="45">
        <v>55020</v>
      </c>
      <c r="C55" s="45" t="s">
        <v>234</v>
      </c>
      <c r="D55" s="36">
        <v>50000</v>
      </c>
      <c r="E55" s="36">
        <v>50000</v>
      </c>
      <c r="F55" s="39">
        <f t="shared" ca="1" si="28"/>
        <v>16071.5</v>
      </c>
      <c r="G55" s="46">
        <f t="shared" ca="1" si="29"/>
        <v>0.32142999999999999</v>
      </c>
      <c r="H55" s="39">
        <f t="shared" ca="1" si="30"/>
        <v>10000</v>
      </c>
      <c r="I55" s="39"/>
      <c r="J55" s="39"/>
      <c r="K55" s="39">
        <f t="shared" ca="1" si="31"/>
        <v>26071.5</v>
      </c>
      <c r="L55" s="36">
        <f t="shared" ca="1" si="33"/>
        <v>23928.5</v>
      </c>
      <c r="M55" s="36"/>
      <c r="N55" s="36"/>
      <c r="O55" s="36">
        <v>1195.5</v>
      </c>
      <c r="P55" s="36">
        <v>10906.5</v>
      </c>
      <c r="Q55" s="36"/>
      <c r="R55" s="36">
        <v>1164.58</v>
      </c>
      <c r="S55" s="36"/>
      <c r="T55" s="36">
        <v>2075</v>
      </c>
      <c r="U55" s="36">
        <f>97.5</f>
        <v>97.5</v>
      </c>
      <c r="V55" s="36">
        <v>213</v>
      </c>
      <c r="W55" s="36">
        <v>419.42</v>
      </c>
      <c r="X55" s="36">
        <v>5000</v>
      </c>
      <c r="Y55" s="36">
        <v>5000</v>
      </c>
      <c r="Z55" s="36">
        <f t="shared" si="32"/>
        <v>26071.5</v>
      </c>
      <c r="AA55" s="36">
        <f t="shared" si="6"/>
        <v>-23928.5</v>
      </c>
      <c r="AB55" s="36"/>
      <c r="AC55" s="36"/>
      <c r="AD55" s="36"/>
      <c r="AE55" s="8"/>
      <c r="AF55" s="8"/>
      <c r="AG55" s="8"/>
      <c r="AH55" s="8"/>
      <c r="AI55" s="36"/>
      <c r="AJ55" s="8"/>
    </row>
    <row r="56" spans="1:36" ht="11.25" customHeight="1" x14ac:dyDescent="0.15">
      <c r="A56" s="8" t="s">
        <v>248</v>
      </c>
      <c r="B56" s="45">
        <v>55061</v>
      </c>
      <c r="C56" s="45" t="s">
        <v>234</v>
      </c>
      <c r="D56" s="36">
        <v>20000</v>
      </c>
      <c r="E56" s="36">
        <v>20000</v>
      </c>
      <c r="F56" s="39">
        <f t="shared" ca="1" si="28"/>
        <v>5180</v>
      </c>
      <c r="G56" s="46">
        <f t="shared" ca="1" si="29"/>
        <v>0.25900000000000001</v>
      </c>
      <c r="H56" s="39">
        <f t="shared" ca="1" si="30"/>
        <v>7408</v>
      </c>
      <c r="I56" s="39"/>
      <c r="J56" s="39"/>
      <c r="K56" s="39">
        <f t="shared" ca="1" si="31"/>
        <v>12588</v>
      </c>
      <c r="L56" s="36">
        <f t="shared" ca="1" si="33"/>
        <v>7412</v>
      </c>
      <c r="M56" s="36"/>
      <c r="N56" s="36"/>
      <c r="O56" s="36"/>
      <c r="P56" s="36"/>
      <c r="Q56" s="36"/>
      <c r="R56" s="36"/>
      <c r="S56" s="36"/>
      <c r="T56" s="36">
        <f>740+740</f>
        <v>1480</v>
      </c>
      <c r="U56" s="36"/>
      <c r="V56" s="36">
        <v>3700</v>
      </c>
      <c r="W56" s="36"/>
      <c r="X56" s="36">
        <f t="shared" ref="X56:Y56" si="35">18520/5</f>
        <v>3704</v>
      </c>
      <c r="Y56" s="36">
        <f t="shared" si="35"/>
        <v>3704</v>
      </c>
      <c r="Z56" s="36">
        <f t="shared" si="32"/>
        <v>12588</v>
      </c>
      <c r="AA56" s="36">
        <f t="shared" si="6"/>
        <v>-7412</v>
      </c>
      <c r="AB56" s="36"/>
      <c r="AC56" s="36"/>
      <c r="AD56" s="36"/>
      <c r="AE56" s="8"/>
      <c r="AF56" s="8"/>
      <c r="AG56" s="8"/>
      <c r="AH56" s="8"/>
      <c r="AI56" s="36"/>
      <c r="AJ56" s="8"/>
    </row>
    <row r="57" spans="1:36" ht="11.25" customHeight="1" x14ac:dyDescent="0.15">
      <c r="A57" s="8" t="s">
        <v>249</v>
      </c>
      <c r="B57" s="45">
        <v>55395</v>
      </c>
      <c r="C57" s="45" t="s">
        <v>234</v>
      </c>
      <c r="D57" s="36">
        <f>122010</f>
        <v>122010</v>
      </c>
      <c r="E57" s="36">
        <v>122010</v>
      </c>
      <c r="F57" s="39">
        <f t="shared" ca="1" si="28"/>
        <v>81783.400000000009</v>
      </c>
      <c r="G57" s="46">
        <f t="shared" ca="1" si="29"/>
        <v>0.67030079501680195</v>
      </c>
      <c r="H57" s="39">
        <f t="shared" ca="1" si="30"/>
        <v>26109</v>
      </c>
      <c r="I57" s="39"/>
      <c r="J57" s="39"/>
      <c r="K57" s="39">
        <f t="shared" ca="1" si="31"/>
        <v>107892.40000000001</v>
      </c>
      <c r="L57" s="36">
        <f t="shared" ca="1" si="33"/>
        <v>14117.599999999991</v>
      </c>
      <c r="M57" s="36"/>
      <c r="N57" s="36"/>
      <c r="O57" s="36">
        <f>8715+9441.25</f>
        <v>18156.25</v>
      </c>
      <c r="P57" s="36">
        <v>8953.58</v>
      </c>
      <c r="Q57" s="36">
        <v>10555.67</v>
      </c>
      <c r="R57" s="36">
        <v>8953.58</v>
      </c>
      <c r="S57" s="36">
        <v>8953.58</v>
      </c>
      <c r="T57" s="36">
        <v>8553.58</v>
      </c>
      <c r="U57" s="36"/>
      <c r="V57" s="36">
        <v>8953.58</v>
      </c>
      <c r="W57" s="36">
        <v>8703.58</v>
      </c>
      <c r="X57" s="36">
        <f>8703*2</f>
        <v>17406</v>
      </c>
      <c r="Y57" s="36">
        <v>8703</v>
      </c>
      <c r="Z57" s="36">
        <f t="shared" si="32"/>
        <v>107892.40000000001</v>
      </c>
      <c r="AA57" s="36">
        <f t="shared" si="6"/>
        <v>-14117.599999999991</v>
      </c>
      <c r="AB57" s="36"/>
      <c r="AC57" s="36"/>
      <c r="AD57" s="36"/>
      <c r="AE57" s="8"/>
      <c r="AF57" s="8"/>
      <c r="AG57" s="8"/>
      <c r="AH57" s="8"/>
      <c r="AI57" s="36"/>
      <c r="AJ57" s="8"/>
    </row>
    <row r="58" spans="1:36" ht="11.25" customHeight="1" x14ac:dyDescent="0.15">
      <c r="A58" s="8" t="s">
        <v>250</v>
      </c>
      <c r="B58" s="45">
        <v>55101</v>
      </c>
      <c r="C58" s="45" t="s">
        <v>223</v>
      </c>
      <c r="D58" s="36"/>
      <c r="E58" s="36">
        <v>0</v>
      </c>
      <c r="F58" s="39">
        <f t="shared" ca="1" si="28"/>
        <v>3585.35</v>
      </c>
      <c r="G58" s="46">
        <f t="shared" ca="1" si="29"/>
        <v>0</v>
      </c>
      <c r="H58" s="39">
        <f t="shared" ca="1" si="30"/>
        <v>200</v>
      </c>
      <c r="I58" s="39"/>
      <c r="J58" s="39"/>
      <c r="K58" s="39">
        <f t="shared" ca="1" si="31"/>
        <v>3785.35</v>
      </c>
      <c r="L58" s="36">
        <f t="shared" ca="1" si="33"/>
        <v>-3785.35</v>
      </c>
      <c r="M58" s="36"/>
      <c r="N58" s="36"/>
      <c r="O58" s="36"/>
      <c r="P58" s="36"/>
      <c r="Q58" s="36"/>
      <c r="R58" s="36"/>
      <c r="S58" s="36"/>
      <c r="T58" s="36">
        <v>28.59</v>
      </c>
      <c r="U58" s="36">
        <v>3542.4</v>
      </c>
      <c r="V58" s="36">
        <v>12.91</v>
      </c>
      <c r="W58" s="36">
        <v>1.45</v>
      </c>
      <c r="X58" s="36">
        <v>100</v>
      </c>
      <c r="Y58" s="36">
        <v>100</v>
      </c>
      <c r="Z58" s="36">
        <f t="shared" si="32"/>
        <v>3785.35</v>
      </c>
      <c r="AA58" s="36">
        <f t="shared" si="6"/>
        <v>3785.35</v>
      </c>
      <c r="AB58" s="36"/>
      <c r="AC58" s="36"/>
      <c r="AD58" s="36"/>
      <c r="AE58" s="8"/>
      <c r="AF58" s="8"/>
      <c r="AG58" s="8"/>
      <c r="AH58" s="8"/>
      <c r="AI58" s="36"/>
      <c r="AJ58" s="8"/>
    </row>
    <row r="59" spans="1:36" ht="11.25" customHeight="1" x14ac:dyDescent="0.15">
      <c r="A59" s="8" t="s">
        <v>251</v>
      </c>
      <c r="B59" s="45">
        <v>55125</v>
      </c>
      <c r="C59" s="45" t="s">
        <v>252</v>
      </c>
      <c r="D59" s="36">
        <v>13560</v>
      </c>
      <c r="E59" s="36">
        <v>15615</v>
      </c>
      <c r="F59" s="39">
        <f t="shared" ca="1" si="28"/>
        <v>17176.060000000001</v>
      </c>
      <c r="G59" s="46">
        <f t="shared" ca="1" si="29"/>
        <v>1.0999718219660584</v>
      </c>
      <c r="H59" s="39">
        <f t="shared" ca="1" si="30"/>
        <v>2400</v>
      </c>
      <c r="I59" s="39"/>
      <c r="J59" s="39"/>
      <c r="K59" s="39">
        <f t="shared" ca="1" si="31"/>
        <v>19576.060000000001</v>
      </c>
      <c r="L59" s="36">
        <f t="shared" ca="1" si="33"/>
        <v>-3961.0600000000013</v>
      </c>
      <c r="M59" s="36"/>
      <c r="N59" s="36">
        <v>1978.34</v>
      </c>
      <c r="O59" s="36">
        <v>922.27</v>
      </c>
      <c r="P59" s="36">
        <v>850.85</v>
      </c>
      <c r="Q59" s="36">
        <v>120</v>
      </c>
      <c r="R59" s="36">
        <v>2043.28</v>
      </c>
      <c r="S59" s="36">
        <f>3147.96</f>
        <v>3147.96</v>
      </c>
      <c r="T59" s="36">
        <v>3681.67</v>
      </c>
      <c r="U59" s="36">
        <v>1043.1199999999999</v>
      </c>
      <c r="V59" s="36">
        <v>1035.5</v>
      </c>
      <c r="W59" s="36">
        <v>2353.0700000000002</v>
      </c>
      <c r="X59" s="36">
        <v>1200</v>
      </c>
      <c r="Y59" s="36">
        <v>1200</v>
      </c>
      <c r="Z59" s="36">
        <f t="shared" si="32"/>
        <v>19576.060000000001</v>
      </c>
      <c r="AA59" s="36">
        <f t="shared" si="6"/>
        <v>3961.0600000000013</v>
      </c>
      <c r="AB59" s="36"/>
      <c r="AC59" s="36"/>
      <c r="AD59" s="36"/>
      <c r="AE59" s="8"/>
      <c r="AF59" s="8"/>
      <c r="AG59" s="8"/>
      <c r="AH59" s="8"/>
      <c r="AI59" s="36"/>
      <c r="AJ59" s="8"/>
    </row>
    <row r="60" spans="1:36" ht="11.25" customHeight="1" x14ac:dyDescent="0.15">
      <c r="A60" s="8" t="s">
        <v>253</v>
      </c>
      <c r="B60" s="45">
        <v>55600</v>
      </c>
      <c r="C60" s="45" t="s">
        <v>254</v>
      </c>
      <c r="D60" s="36"/>
      <c r="E60" s="36">
        <v>0</v>
      </c>
      <c r="F60" s="39">
        <f t="shared" ca="1" si="28"/>
        <v>0</v>
      </c>
      <c r="G60" s="46">
        <f t="shared" ca="1" si="29"/>
        <v>0</v>
      </c>
      <c r="H60" s="39">
        <f t="shared" ca="1" si="30"/>
        <v>0</v>
      </c>
      <c r="I60" s="39"/>
      <c r="J60" s="39"/>
      <c r="K60" s="39">
        <f t="shared" ca="1" si="31"/>
        <v>0</v>
      </c>
      <c r="L60" s="36">
        <f t="shared" ca="1" si="33"/>
        <v>0</v>
      </c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>
        <f t="shared" si="32"/>
        <v>0</v>
      </c>
      <c r="AA60" s="36">
        <f t="shared" si="6"/>
        <v>0</v>
      </c>
      <c r="AB60" s="36"/>
      <c r="AC60" s="36"/>
      <c r="AD60" s="36"/>
      <c r="AE60" s="8"/>
      <c r="AF60" s="8"/>
      <c r="AG60" s="8"/>
      <c r="AH60" s="8"/>
      <c r="AI60" s="36"/>
      <c r="AJ60" s="8"/>
    </row>
    <row r="61" spans="1:36" ht="11.25" customHeight="1" x14ac:dyDescent="0.15">
      <c r="A61" s="8" t="s">
        <v>255</v>
      </c>
      <c r="B61" s="45">
        <v>55073</v>
      </c>
      <c r="C61" s="45" t="s">
        <v>234</v>
      </c>
      <c r="D61" s="36">
        <v>35000</v>
      </c>
      <c r="E61" s="36">
        <v>52700</v>
      </c>
      <c r="F61" s="39">
        <f t="shared" ca="1" si="28"/>
        <v>27517</v>
      </c>
      <c r="G61" s="46">
        <f t="shared" ca="1" si="29"/>
        <v>0.52214421252371912</v>
      </c>
      <c r="H61" s="39">
        <f t="shared" ca="1" si="30"/>
        <v>10000</v>
      </c>
      <c r="I61" s="39"/>
      <c r="J61" s="39"/>
      <c r="K61" s="39">
        <f t="shared" ca="1" si="31"/>
        <v>37517</v>
      </c>
      <c r="L61" s="36">
        <f t="shared" ca="1" si="33"/>
        <v>15183</v>
      </c>
      <c r="M61" s="36"/>
      <c r="N61" s="36">
        <f>1350+312+1599+1599</f>
        <v>4860</v>
      </c>
      <c r="O61" s="36">
        <v>5670</v>
      </c>
      <c r="P61" s="36">
        <f>1775+1497</f>
        <v>3272</v>
      </c>
      <c r="Q61" s="36">
        <f>2100+1595</f>
        <v>3695</v>
      </c>
      <c r="R61" s="36">
        <v>1599</v>
      </c>
      <c r="S61" s="36"/>
      <c r="T61" s="36">
        <f>2025+1599+1599</f>
        <v>5223</v>
      </c>
      <c r="U61" s="36"/>
      <c r="V61" s="36">
        <v>1599</v>
      </c>
      <c r="W61" s="36">
        <v>1599</v>
      </c>
      <c r="X61" s="36">
        <v>5000</v>
      </c>
      <c r="Y61" s="36">
        <v>5000</v>
      </c>
      <c r="Z61" s="36">
        <f t="shared" si="32"/>
        <v>37517</v>
      </c>
      <c r="AA61" s="36">
        <f t="shared" si="6"/>
        <v>-15183</v>
      </c>
      <c r="AB61" s="36"/>
      <c r="AC61" s="36"/>
      <c r="AD61" s="36"/>
      <c r="AE61" s="8"/>
      <c r="AF61" s="8"/>
      <c r="AG61" s="8"/>
      <c r="AH61" s="8"/>
      <c r="AI61" s="36"/>
      <c r="AJ61" s="8"/>
    </row>
    <row r="62" spans="1:36" ht="11.25" customHeight="1" x14ac:dyDescent="0.15">
      <c r="A62" s="8" t="s">
        <v>256</v>
      </c>
      <c r="B62" s="45">
        <v>55641</v>
      </c>
      <c r="C62" s="45" t="s">
        <v>223</v>
      </c>
      <c r="D62" s="36"/>
      <c r="E62" s="36">
        <v>0</v>
      </c>
      <c r="F62" s="39">
        <f t="shared" ca="1" si="28"/>
        <v>0</v>
      </c>
      <c r="G62" s="46">
        <f t="shared" ca="1" si="29"/>
        <v>0</v>
      </c>
      <c r="H62" s="39">
        <f t="shared" ca="1" si="30"/>
        <v>0</v>
      </c>
      <c r="I62" s="39"/>
      <c r="J62" s="39"/>
      <c r="K62" s="39">
        <f t="shared" ca="1" si="31"/>
        <v>0</v>
      </c>
      <c r="L62" s="36">
        <f t="shared" ca="1" si="33"/>
        <v>0</v>
      </c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>
        <f t="shared" si="32"/>
        <v>0</v>
      </c>
      <c r="AA62" s="36">
        <f t="shared" si="6"/>
        <v>0</v>
      </c>
      <c r="AB62" s="36"/>
      <c r="AC62" s="36"/>
      <c r="AD62" s="36"/>
      <c r="AE62" s="8"/>
      <c r="AF62" s="8"/>
      <c r="AG62" s="8"/>
      <c r="AH62" s="8"/>
      <c r="AI62" s="36"/>
      <c r="AJ62" s="8"/>
    </row>
    <row r="63" spans="1:36" ht="11.25" customHeight="1" x14ac:dyDescent="0.15">
      <c r="A63" s="8" t="s">
        <v>257</v>
      </c>
      <c r="B63" s="45">
        <v>55718</v>
      </c>
      <c r="C63" s="45" t="s">
        <v>254</v>
      </c>
      <c r="D63" s="36">
        <f>79815+1152</f>
        <v>80967</v>
      </c>
      <c r="E63" s="36">
        <v>81208</v>
      </c>
      <c r="F63" s="39">
        <f t="shared" ca="1" si="28"/>
        <v>72755.56</v>
      </c>
      <c r="G63" s="46">
        <f t="shared" ca="1" si="29"/>
        <v>0.89591616589498568</v>
      </c>
      <c r="H63" s="39">
        <f t="shared" ca="1" si="30"/>
        <v>14000</v>
      </c>
      <c r="I63" s="39"/>
      <c r="J63" s="39"/>
      <c r="K63" s="39">
        <f t="shared" ca="1" si="31"/>
        <v>86755.56</v>
      </c>
      <c r="L63" s="36">
        <f t="shared" ca="1" si="33"/>
        <v>-5547.5599999999977</v>
      </c>
      <c r="M63" s="36"/>
      <c r="N63" s="36">
        <f>437.94+6259</f>
        <v>6696.94</v>
      </c>
      <c r="O63" s="36">
        <f>208.95+2053.85+6259</f>
        <v>8521.7999999999993</v>
      </c>
      <c r="P63" s="36">
        <f>327.45+534.78+15212.58-8953.58</f>
        <v>7121.23</v>
      </c>
      <c r="Q63" s="36">
        <f>255.5+6259</f>
        <v>6514.5</v>
      </c>
      <c r="R63" s="36">
        <f>2432.36</f>
        <v>2432.36</v>
      </c>
      <c r="S63" s="36">
        <f>575.94+502.93+6259</f>
        <v>7337.87</v>
      </c>
      <c r="T63" s="36">
        <f>104.17+386.87+6259+6259</f>
        <v>13009.04</v>
      </c>
      <c r="U63" s="36">
        <f>870.38+175.29</f>
        <v>1045.67</v>
      </c>
      <c r="V63" s="36">
        <f>209.67+485.85+12518</f>
        <v>13213.52</v>
      </c>
      <c r="W63" s="36">
        <f>181.62+387.01+6294</f>
        <v>6862.63</v>
      </c>
      <c r="X63" s="36">
        <v>7000</v>
      </c>
      <c r="Y63" s="36">
        <v>7000</v>
      </c>
      <c r="Z63" s="36">
        <f t="shared" si="32"/>
        <v>86755.56</v>
      </c>
      <c r="AA63" s="36">
        <f t="shared" si="6"/>
        <v>5547.5599999999977</v>
      </c>
      <c r="AB63" s="36"/>
      <c r="AC63" s="36"/>
      <c r="AD63" s="36"/>
      <c r="AE63" s="8"/>
      <c r="AF63" s="8"/>
      <c r="AG63" s="8"/>
      <c r="AH63" s="8"/>
      <c r="AI63" s="36"/>
      <c r="AJ63" s="8"/>
    </row>
    <row r="64" spans="1:36" ht="11.25" customHeight="1" x14ac:dyDescent="0.15">
      <c r="A64" s="8" t="s">
        <v>258</v>
      </c>
      <c r="B64" s="45" t="s">
        <v>259</v>
      </c>
      <c r="C64" s="45" t="s">
        <v>252</v>
      </c>
      <c r="D64" s="36">
        <v>12500</v>
      </c>
      <c r="E64" s="36">
        <v>12500</v>
      </c>
      <c r="F64" s="39">
        <f t="shared" ca="1" si="28"/>
        <v>72.95</v>
      </c>
      <c r="G64" s="46">
        <f t="shared" ca="1" si="29"/>
        <v>5.836E-3</v>
      </c>
      <c r="H64" s="39">
        <f t="shared" ca="1" si="30"/>
        <v>12427</v>
      </c>
      <c r="I64" s="39"/>
      <c r="J64" s="39"/>
      <c r="K64" s="39">
        <f t="shared" ca="1" si="31"/>
        <v>12499.95</v>
      </c>
      <c r="L64" s="36">
        <f t="shared" ca="1" si="33"/>
        <v>4.9999999999272404E-2</v>
      </c>
      <c r="M64" s="36"/>
      <c r="N64" s="36"/>
      <c r="O64" s="36"/>
      <c r="P64" s="36"/>
      <c r="Q64" s="36"/>
      <c r="R64" s="36"/>
      <c r="S64" s="36"/>
      <c r="T64" s="36">
        <v>14.99</v>
      </c>
      <c r="U64" s="36">
        <v>57.96</v>
      </c>
      <c r="V64" s="36"/>
      <c r="W64" s="36"/>
      <c r="X64" s="36"/>
      <c r="Y64" s="36">
        <v>12427</v>
      </c>
      <c r="Z64" s="36">
        <f t="shared" si="32"/>
        <v>12499.95</v>
      </c>
      <c r="AA64" s="36">
        <f t="shared" si="6"/>
        <v>-4.9999999999272404E-2</v>
      </c>
      <c r="AB64" s="36"/>
      <c r="AC64" s="36"/>
      <c r="AD64" s="36"/>
      <c r="AE64" s="8"/>
      <c r="AF64" s="8"/>
      <c r="AG64" s="8"/>
      <c r="AH64" s="8"/>
      <c r="AI64" s="36"/>
      <c r="AJ64" s="8"/>
    </row>
    <row r="65" spans="1:36" ht="10.5" customHeight="1" x14ac:dyDescent="0.15">
      <c r="A65" s="8" t="s">
        <v>260</v>
      </c>
      <c r="B65" s="45">
        <v>55452</v>
      </c>
      <c r="C65" s="45" t="s">
        <v>252</v>
      </c>
      <c r="D65" s="36">
        <v>57995</v>
      </c>
      <c r="E65" s="36">
        <v>58218</v>
      </c>
      <c r="F65" s="39">
        <f t="shared" ca="1" si="28"/>
        <v>40015.599999999999</v>
      </c>
      <c r="G65" s="46">
        <f t="shared" ca="1" si="29"/>
        <v>0.68734068501150847</v>
      </c>
      <c r="H65" s="39">
        <f t="shared" ca="1" si="30"/>
        <v>10628.777777777777</v>
      </c>
      <c r="I65" s="39"/>
      <c r="J65" s="39"/>
      <c r="K65" s="39">
        <f t="shared" ca="1" si="31"/>
        <v>50644.377777777772</v>
      </c>
      <c r="L65" s="36">
        <f t="shared" ca="1" si="33"/>
        <v>7573.6222222222277</v>
      </c>
      <c r="M65" s="36"/>
      <c r="N65" s="36"/>
      <c r="O65" s="36"/>
      <c r="P65" s="36">
        <v>10162</v>
      </c>
      <c r="Q65" s="36"/>
      <c r="R65" s="36">
        <v>4505.8999999999996</v>
      </c>
      <c r="S65" s="36">
        <f>11660.9</f>
        <v>11660.9</v>
      </c>
      <c r="T65" s="36">
        <v>10420.9</v>
      </c>
      <c r="U65" s="36">
        <v>3265.9</v>
      </c>
      <c r="V65" s="36"/>
      <c r="W65" s="36"/>
      <c r="X65" s="36">
        <f t="shared" ref="X65" si="36">47833/9</f>
        <v>5314.7777777777774</v>
      </c>
      <c r="Y65" s="36">
        <v>5314</v>
      </c>
      <c r="Z65" s="36">
        <f t="shared" si="32"/>
        <v>50644.377777777772</v>
      </c>
      <c r="AA65" s="36">
        <f t="shared" si="6"/>
        <v>-7573.6222222222277</v>
      </c>
      <c r="AB65" s="36"/>
      <c r="AC65" s="36"/>
      <c r="AD65" s="36"/>
      <c r="AE65" s="8"/>
      <c r="AF65" s="8"/>
      <c r="AG65" s="8"/>
      <c r="AH65" s="8"/>
      <c r="AI65" s="36"/>
      <c r="AJ65" s="8"/>
    </row>
    <row r="66" spans="1:36" ht="10.5" customHeight="1" x14ac:dyDescent="0.15">
      <c r="A66" s="8" t="s">
        <v>261</v>
      </c>
      <c r="B66" s="45">
        <v>55402</v>
      </c>
      <c r="C66" s="45" t="s">
        <v>252</v>
      </c>
      <c r="D66" s="36">
        <f>96689.67*12-290000</f>
        <v>870276.04</v>
      </c>
      <c r="E66" s="36">
        <v>870276</v>
      </c>
      <c r="F66" s="39">
        <f t="shared" ca="1" si="28"/>
        <v>821862.10999999987</v>
      </c>
      <c r="G66" s="46">
        <f t="shared" ca="1" si="29"/>
        <v>0.94436949887162214</v>
      </c>
      <c r="H66" s="39">
        <f t="shared" ca="1" si="30"/>
        <v>80236.84</v>
      </c>
      <c r="I66" s="39"/>
      <c r="J66" s="39"/>
      <c r="K66" s="39">
        <f t="shared" ca="1" si="31"/>
        <v>902098.94999999984</v>
      </c>
      <c r="L66" s="36">
        <f t="shared" ca="1" si="33"/>
        <v>-31822.949999999837</v>
      </c>
      <c r="M66" s="36"/>
      <c r="N66" s="36">
        <v>96689.67</v>
      </c>
      <c r="O66" s="36">
        <v>193379.34</v>
      </c>
      <c r="P66" s="36">
        <f>96689.67</f>
        <v>96689.67</v>
      </c>
      <c r="Q66" s="36"/>
      <c r="R66" s="36">
        <v>96689.67</v>
      </c>
      <c r="S66" s="36">
        <f>102948.67-6259.1</f>
        <v>96689.569999999992</v>
      </c>
      <c r="T66" s="36">
        <v>96689.67</v>
      </c>
      <c r="U66" s="36">
        <f>48344.84</f>
        <v>48344.84</v>
      </c>
      <c r="V66" s="36">
        <v>96689.68</v>
      </c>
      <c r="W66" s="36"/>
      <c r="X66" s="36">
        <f>96689.68/2</f>
        <v>48344.84</v>
      </c>
      <c r="Y66" s="36">
        <f>902099-870207</f>
        <v>31892</v>
      </c>
      <c r="Z66" s="36">
        <f t="shared" si="32"/>
        <v>902098.94999999984</v>
      </c>
      <c r="AA66" s="36">
        <f t="shared" si="6"/>
        <v>31822.949999999837</v>
      </c>
      <c r="AB66" s="36"/>
      <c r="AC66" s="36"/>
      <c r="AD66" s="36"/>
      <c r="AE66" s="8"/>
      <c r="AF66" s="8"/>
      <c r="AG66" s="8"/>
      <c r="AH66" s="8"/>
      <c r="AI66" s="36"/>
      <c r="AJ66" s="8"/>
    </row>
    <row r="67" spans="1:36" ht="12.75" customHeight="1" x14ac:dyDescent="0.15">
      <c r="A67" s="8" t="s">
        <v>262</v>
      </c>
      <c r="B67" s="45">
        <v>55400</v>
      </c>
      <c r="C67" s="45" t="s">
        <v>223</v>
      </c>
      <c r="D67" s="36">
        <v>66205</v>
      </c>
      <c r="E67" s="36">
        <v>66205</v>
      </c>
      <c r="F67" s="39">
        <f t="shared" ca="1" si="28"/>
        <v>45845.920000000006</v>
      </c>
      <c r="G67" s="46">
        <f t="shared" ca="1" si="29"/>
        <v>0.69248425345517717</v>
      </c>
      <c r="H67" s="39">
        <f t="shared" ca="1" si="30"/>
        <v>20359</v>
      </c>
      <c r="I67" s="39"/>
      <c r="J67" s="39"/>
      <c r="K67" s="39">
        <f t="shared" ca="1" si="31"/>
        <v>66204.920000000013</v>
      </c>
      <c r="L67" s="36">
        <f t="shared" ca="1" si="33"/>
        <v>7.9999999987194315E-2</v>
      </c>
      <c r="M67" s="36"/>
      <c r="N67" s="36">
        <v>5681.71</v>
      </c>
      <c r="O67" s="36">
        <v>5002.71</v>
      </c>
      <c r="P67" s="36">
        <v>5395</v>
      </c>
      <c r="Q67" s="36">
        <v>5882.74</v>
      </c>
      <c r="R67" s="36">
        <v>6124.61</v>
      </c>
      <c r="S67" s="36">
        <v>5396</v>
      </c>
      <c r="T67" s="36">
        <v>5396</v>
      </c>
      <c r="U67" s="36"/>
      <c r="V67" s="36">
        <v>1571.15</v>
      </c>
      <c r="W67" s="36">
        <v>5396</v>
      </c>
      <c r="X67" s="36">
        <f>5396*2</f>
        <v>10792</v>
      </c>
      <c r="Y67" s="36">
        <v>9567</v>
      </c>
      <c r="Z67" s="36">
        <f t="shared" si="32"/>
        <v>66204.920000000013</v>
      </c>
      <c r="AA67" s="36">
        <f t="shared" si="6"/>
        <v>-7.9999999987194315E-2</v>
      </c>
      <c r="AB67" s="36"/>
      <c r="AC67" s="36"/>
      <c r="AD67" s="36"/>
      <c r="AE67" s="8"/>
      <c r="AF67" s="8"/>
      <c r="AG67" s="8"/>
      <c r="AH67" s="8"/>
      <c r="AI67" s="36"/>
      <c r="AJ67" s="8"/>
    </row>
    <row r="68" spans="1:36" ht="10.5" customHeight="1" x14ac:dyDescent="0.15">
      <c r="A68" s="8" t="s">
        <v>263</v>
      </c>
      <c r="B68" s="45">
        <v>55434</v>
      </c>
      <c r="C68" s="45" t="s">
        <v>223</v>
      </c>
      <c r="D68" s="36">
        <f>400000+2000*7</f>
        <v>414000</v>
      </c>
      <c r="E68" s="36">
        <v>414000</v>
      </c>
      <c r="F68" s="39">
        <f t="shared" ca="1" si="28"/>
        <v>248594.65000000002</v>
      </c>
      <c r="G68" s="46">
        <f t="shared" ca="1" si="29"/>
        <v>0.60047016908212569</v>
      </c>
      <c r="H68" s="39">
        <f t="shared" ca="1" si="30"/>
        <v>165404.57142857142</v>
      </c>
      <c r="I68" s="39"/>
      <c r="J68" s="39"/>
      <c r="K68" s="39">
        <f t="shared" ca="1" si="31"/>
        <v>413999.22142857144</v>
      </c>
      <c r="L68" s="36">
        <f t="shared" ca="1" si="33"/>
        <v>0.77857142855646089</v>
      </c>
      <c r="M68" s="36"/>
      <c r="N68" s="36">
        <v>44727.29</v>
      </c>
      <c r="O68" s="36"/>
      <c r="P68" s="36">
        <v>2114.36</v>
      </c>
      <c r="Q68" s="36">
        <v>40288.33</v>
      </c>
      <c r="R68" s="36">
        <f>1529</f>
        <v>1529</v>
      </c>
      <c r="S68" s="36">
        <v>35210.699999999997</v>
      </c>
      <c r="T68" s="36">
        <f>26890.51</f>
        <v>26890.51</v>
      </c>
      <c r="U68" s="36"/>
      <c r="V68" s="36">
        <f>1042.5</f>
        <v>1042.5</v>
      </c>
      <c r="W68" s="36">
        <f>95792.1+999.86</f>
        <v>96791.96</v>
      </c>
      <c r="X68" s="36">
        <f>325341/7*2</f>
        <v>92954.571428571435</v>
      </c>
      <c r="Y68" s="36">
        <v>72450</v>
      </c>
      <c r="Z68" s="36">
        <f t="shared" si="32"/>
        <v>413999.22142857144</v>
      </c>
      <c r="AA68" s="36">
        <f t="shared" si="6"/>
        <v>-0.77857142855646089</v>
      </c>
      <c r="AB68" s="36"/>
      <c r="AC68" s="36"/>
      <c r="AD68" s="36"/>
      <c r="AE68" s="8"/>
      <c r="AF68" s="8"/>
      <c r="AG68" s="8"/>
      <c r="AH68" s="8"/>
      <c r="AI68" s="36"/>
      <c r="AJ68" s="8"/>
    </row>
    <row r="69" spans="1:36" ht="10.5" customHeight="1" x14ac:dyDescent="0.15">
      <c r="A69" s="8" t="s">
        <v>264</v>
      </c>
      <c r="B69" s="45">
        <v>55371</v>
      </c>
      <c r="C69" s="45" t="s">
        <v>223</v>
      </c>
      <c r="D69" s="36"/>
      <c r="E69" s="36">
        <v>1160</v>
      </c>
      <c r="F69" s="39">
        <f t="shared" ca="1" si="28"/>
        <v>1160</v>
      </c>
      <c r="G69" s="46">
        <f t="shared" ca="1" si="29"/>
        <v>1</v>
      </c>
      <c r="H69" s="39">
        <f t="shared" ca="1" si="30"/>
        <v>0</v>
      </c>
      <c r="I69" s="39"/>
      <c r="J69" s="39"/>
      <c r="K69" s="39">
        <f t="shared" ca="1" si="31"/>
        <v>1160</v>
      </c>
      <c r="L69" s="36">
        <f t="shared" ca="1" si="33"/>
        <v>0</v>
      </c>
      <c r="M69" s="36"/>
      <c r="N69" s="36"/>
      <c r="O69" s="36"/>
      <c r="P69" s="36">
        <v>1160</v>
      </c>
      <c r="Q69" s="36"/>
      <c r="R69" s="36"/>
      <c r="S69" s="36"/>
      <c r="T69" s="36"/>
      <c r="U69" s="36"/>
      <c r="V69" s="36"/>
      <c r="W69" s="36"/>
      <c r="X69" s="36"/>
      <c r="Y69" s="36"/>
      <c r="Z69" s="36">
        <f t="shared" si="32"/>
        <v>1160</v>
      </c>
      <c r="AA69" s="36">
        <f t="shared" si="6"/>
        <v>0</v>
      </c>
      <c r="AB69" s="36"/>
      <c r="AC69" s="36"/>
      <c r="AD69" s="36"/>
      <c r="AE69" s="8"/>
      <c r="AF69" s="8"/>
      <c r="AG69" s="8"/>
      <c r="AH69" s="8"/>
      <c r="AI69" s="36"/>
      <c r="AJ69" s="8"/>
    </row>
    <row r="70" spans="1:36" ht="10.5" customHeight="1" x14ac:dyDescent="0.15">
      <c r="A70" s="8" t="s">
        <v>265</v>
      </c>
      <c r="B70" s="45">
        <v>55338</v>
      </c>
      <c r="C70" s="45" t="s">
        <v>223</v>
      </c>
      <c r="D70" s="36">
        <f>7500*5</f>
        <v>37500</v>
      </c>
      <c r="E70" s="36">
        <v>37500</v>
      </c>
      <c r="F70" s="39">
        <f t="shared" ca="1" si="28"/>
        <v>38850</v>
      </c>
      <c r="G70" s="46">
        <f t="shared" ca="1" si="29"/>
        <v>1.036</v>
      </c>
      <c r="H70" s="39">
        <f t="shared" ca="1" si="30"/>
        <v>0</v>
      </c>
      <c r="I70" s="39"/>
      <c r="J70" s="39"/>
      <c r="K70" s="39">
        <f t="shared" ca="1" si="31"/>
        <v>38850</v>
      </c>
      <c r="L70" s="36">
        <f t="shared" ca="1" si="33"/>
        <v>-1350</v>
      </c>
      <c r="M70" s="36"/>
      <c r="N70" s="36"/>
      <c r="O70" s="36"/>
      <c r="P70" s="36">
        <v>7500</v>
      </c>
      <c r="Q70" s="36">
        <v>7500</v>
      </c>
      <c r="R70" s="36"/>
      <c r="S70" s="36"/>
      <c r="T70" s="36"/>
      <c r="U70" s="36">
        <v>1350</v>
      </c>
      <c r="V70" s="36">
        <v>22500</v>
      </c>
      <c r="W70" s="36"/>
      <c r="X70" s="36"/>
      <c r="Y70" s="36"/>
      <c r="Z70" s="36">
        <f t="shared" si="32"/>
        <v>38850</v>
      </c>
      <c r="AA70" s="36">
        <f t="shared" si="6"/>
        <v>1350</v>
      </c>
      <c r="AB70" s="36"/>
      <c r="AC70" s="36"/>
      <c r="AD70" s="36"/>
      <c r="AE70" s="8"/>
      <c r="AF70" s="8"/>
      <c r="AG70" s="8"/>
      <c r="AH70" s="8"/>
      <c r="AI70" s="36"/>
      <c r="AJ70" s="8"/>
    </row>
    <row r="71" spans="1:36" ht="10.5" customHeight="1" x14ac:dyDescent="0.15">
      <c r="A71" s="8" t="s">
        <v>266</v>
      </c>
      <c r="B71" s="45">
        <v>55610</v>
      </c>
      <c r="C71" s="45" t="s">
        <v>223</v>
      </c>
      <c r="D71" s="36">
        <v>19000</v>
      </c>
      <c r="E71" s="36">
        <v>40000</v>
      </c>
      <c r="F71" s="39">
        <f t="shared" ca="1" si="28"/>
        <v>33809.380000000005</v>
      </c>
      <c r="G71" s="46">
        <f t="shared" ca="1" si="29"/>
        <v>0.84523450000000011</v>
      </c>
      <c r="H71" s="39">
        <f t="shared" ca="1" si="30"/>
        <v>6190</v>
      </c>
      <c r="I71" s="39"/>
      <c r="J71" s="39"/>
      <c r="K71" s="39">
        <f t="shared" ca="1" si="31"/>
        <v>39999.380000000005</v>
      </c>
      <c r="L71" s="36">
        <f t="shared" ca="1" si="33"/>
        <v>0.61999999999534339</v>
      </c>
      <c r="M71" s="36"/>
      <c r="N71" s="36">
        <v>1350</v>
      </c>
      <c r="O71" s="36">
        <v>7482.35</v>
      </c>
      <c r="P71" s="36">
        <v>1350</v>
      </c>
      <c r="Q71" s="36">
        <v>1350</v>
      </c>
      <c r="R71" s="36">
        <v>2850</v>
      </c>
      <c r="S71" s="36">
        <v>1350</v>
      </c>
      <c r="T71" s="36">
        <v>9600</v>
      </c>
      <c r="U71" s="36"/>
      <c r="V71" s="36">
        <v>175.83</v>
      </c>
      <c r="W71" s="36">
        <v>8301.2000000000007</v>
      </c>
      <c r="X71" s="36">
        <v>3000</v>
      </c>
      <c r="Y71" s="36">
        <v>3190</v>
      </c>
      <c r="Z71" s="36">
        <f t="shared" si="32"/>
        <v>39999.380000000005</v>
      </c>
      <c r="AA71" s="36">
        <f t="shared" si="6"/>
        <v>-0.61999999999534339</v>
      </c>
      <c r="AB71" s="36"/>
      <c r="AC71" s="36"/>
      <c r="AD71" s="36"/>
      <c r="AE71" s="8"/>
      <c r="AF71" s="8"/>
      <c r="AG71" s="8"/>
      <c r="AH71" s="8"/>
      <c r="AI71" s="36"/>
      <c r="AJ71" s="8"/>
    </row>
    <row r="72" spans="1:36" ht="10.5" customHeight="1" x14ac:dyDescent="0.15">
      <c r="A72" s="8" t="s">
        <v>267</v>
      </c>
      <c r="B72" s="45">
        <v>55631</v>
      </c>
      <c r="C72" s="45" t="s">
        <v>223</v>
      </c>
      <c r="D72" s="36">
        <v>22800</v>
      </c>
      <c r="E72" s="36">
        <v>23315</v>
      </c>
      <c r="F72" s="39">
        <f t="shared" ca="1" si="28"/>
        <v>24480.85</v>
      </c>
      <c r="G72" s="46">
        <f t="shared" ca="1" si="29"/>
        <v>1.0500042890842805</v>
      </c>
      <c r="H72" s="39">
        <f t="shared" ca="1" si="30"/>
        <v>0</v>
      </c>
      <c r="I72" s="39"/>
      <c r="J72" s="39"/>
      <c r="K72" s="39">
        <f t="shared" ca="1" si="31"/>
        <v>24480.85</v>
      </c>
      <c r="L72" s="36">
        <f t="shared" ca="1" si="33"/>
        <v>-1165.8499999999985</v>
      </c>
      <c r="M72" s="36"/>
      <c r="N72" s="36">
        <v>1145</v>
      </c>
      <c r="O72" s="36">
        <v>385</v>
      </c>
      <c r="P72" s="36">
        <f>2161+11941.52</f>
        <v>14102.52</v>
      </c>
      <c r="Q72" s="36">
        <v>170</v>
      </c>
      <c r="R72" s="36">
        <v>1148.3</v>
      </c>
      <c r="S72" s="36">
        <v>515.04</v>
      </c>
      <c r="T72" s="36">
        <v>3835</v>
      </c>
      <c r="U72" s="36">
        <v>2794.99</v>
      </c>
      <c r="V72" s="36"/>
      <c r="W72" s="36">
        <f>385</f>
        <v>385</v>
      </c>
      <c r="X72" s="36"/>
      <c r="Y72" s="36"/>
      <c r="Z72" s="36">
        <f t="shared" si="32"/>
        <v>24480.85</v>
      </c>
      <c r="AA72" s="36">
        <f t="shared" si="6"/>
        <v>1165.8499999999985</v>
      </c>
      <c r="AB72" s="36"/>
      <c r="AC72" s="36"/>
      <c r="AD72" s="36"/>
      <c r="AE72" s="8"/>
      <c r="AF72" s="8"/>
      <c r="AG72" s="8"/>
      <c r="AH72" s="8"/>
      <c r="AI72" s="36"/>
      <c r="AJ72" s="8"/>
    </row>
    <row r="73" spans="1:36" ht="10.5" customHeight="1" x14ac:dyDescent="0.15">
      <c r="A73" s="8" t="s">
        <v>268</v>
      </c>
      <c r="B73" s="45" t="s">
        <v>269</v>
      </c>
      <c r="C73" s="45" t="s">
        <v>223</v>
      </c>
      <c r="D73" s="36">
        <v>6000</v>
      </c>
      <c r="E73" s="36">
        <v>4000</v>
      </c>
      <c r="F73" s="39">
        <f t="shared" ca="1" si="28"/>
        <v>3088.71</v>
      </c>
      <c r="G73" s="46">
        <f t="shared" ca="1" si="29"/>
        <v>0.77217749999999996</v>
      </c>
      <c r="H73" s="39">
        <f t="shared" ca="1" si="30"/>
        <v>1333.3333333333333</v>
      </c>
      <c r="I73" s="39"/>
      <c r="J73" s="39"/>
      <c r="K73" s="39">
        <f t="shared" ca="1" si="31"/>
        <v>4422.0433333333331</v>
      </c>
      <c r="L73" s="36">
        <f t="shared" ca="1" si="33"/>
        <v>-422.04333333333307</v>
      </c>
      <c r="M73" s="36"/>
      <c r="N73" s="36"/>
      <c r="O73" s="36"/>
      <c r="P73" s="36"/>
      <c r="Q73" s="36"/>
      <c r="R73" s="36"/>
      <c r="S73" s="36"/>
      <c r="T73" s="36">
        <f>1679.11-780</f>
        <v>899.1099999999999</v>
      </c>
      <c r="U73" s="36"/>
      <c r="V73" s="36">
        <v>779.79</v>
      </c>
      <c r="W73" s="36">
        <v>1409.81</v>
      </c>
      <c r="X73" s="36">
        <f t="shared" ref="X73:Y73" si="37">6000/9</f>
        <v>666.66666666666663</v>
      </c>
      <c r="Y73" s="36">
        <f t="shared" si="37"/>
        <v>666.66666666666663</v>
      </c>
      <c r="Z73" s="36">
        <f t="shared" si="32"/>
        <v>4422.0433333333331</v>
      </c>
      <c r="AA73" s="36">
        <f t="shared" si="6"/>
        <v>422.04333333333307</v>
      </c>
      <c r="AB73" s="36"/>
      <c r="AC73" s="36"/>
      <c r="AD73" s="36"/>
      <c r="AE73" s="8"/>
      <c r="AF73" s="8"/>
      <c r="AG73" s="8"/>
      <c r="AH73" s="8"/>
      <c r="AI73" s="36"/>
      <c r="AJ73" s="8"/>
    </row>
    <row r="74" spans="1:36" ht="10.5" customHeight="1" x14ac:dyDescent="0.15">
      <c r="A74" s="8" t="s">
        <v>339</v>
      </c>
      <c r="B74" s="45"/>
      <c r="C74" s="45" t="s">
        <v>223</v>
      </c>
      <c r="D74" s="36">
        <f>3092411-2712661-18750-40000-15000-12000-2500-40000-7400-20000</f>
        <v>224100</v>
      </c>
      <c r="E74" s="36">
        <v>224100</v>
      </c>
      <c r="F74" s="39">
        <f t="shared" ca="1" si="28"/>
        <v>79658.23</v>
      </c>
      <c r="G74" s="46">
        <f t="shared" ca="1" si="29"/>
        <v>0.35545841142347162</v>
      </c>
      <c r="H74" s="39">
        <f t="shared" ca="1" si="30"/>
        <v>92766</v>
      </c>
      <c r="I74" s="39"/>
      <c r="J74" s="39"/>
      <c r="K74" s="39">
        <f t="shared" ca="1" si="31"/>
        <v>172424.22999999998</v>
      </c>
      <c r="L74" s="36">
        <f t="shared" ca="1" si="33"/>
        <v>51675.770000000019</v>
      </c>
      <c r="M74" s="36"/>
      <c r="N74" s="36"/>
      <c r="O74" s="36"/>
      <c r="P74" s="36"/>
      <c r="Q74" s="36"/>
      <c r="R74" s="36">
        <f>35778.75</f>
        <v>35778.75</v>
      </c>
      <c r="S74" s="36">
        <f>19500+5000+3750</f>
        <v>28250</v>
      </c>
      <c r="T74" s="36">
        <f>7499</f>
        <v>7499</v>
      </c>
      <c r="U74" s="36"/>
      <c r="V74" s="36">
        <v>6000</v>
      </c>
      <c r="W74" s="36">
        <f>2130.48</f>
        <v>2130.48</v>
      </c>
      <c r="X74" s="36">
        <v>47806</v>
      </c>
      <c r="Y74" s="36">
        <v>44960</v>
      </c>
      <c r="Z74" s="36">
        <f t="shared" si="32"/>
        <v>172424.22999999998</v>
      </c>
      <c r="AA74" s="36">
        <f t="shared" si="6"/>
        <v>-51675.770000000019</v>
      </c>
      <c r="AB74" s="36"/>
      <c r="AC74" s="36"/>
      <c r="AD74" s="36"/>
      <c r="AE74" s="8"/>
      <c r="AF74" s="8"/>
      <c r="AG74" s="8"/>
      <c r="AH74" s="8"/>
      <c r="AI74" s="36"/>
      <c r="AJ74" s="8"/>
    </row>
    <row r="75" spans="1:36" ht="10.5" customHeight="1" x14ac:dyDescent="0.15">
      <c r="A75" s="8" t="s">
        <v>270</v>
      </c>
      <c r="B75" s="45" t="s">
        <v>271</v>
      </c>
      <c r="C75" s="45" t="s">
        <v>223</v>
      </c>
      <c r="D75" s="36">
        <v>75000</v>
      </c>
      <c r="E75" s="36">
        <v>66120</v>
      </c>
      <c r="F75" s="39">
        <f t="shared" ca="1" si="28"/>
        <v>3192.03</v>
      </c>
      <c r="G75" s="46">
        <f t="shared" ca="1" si="29"/>
        <v>4.8276315789473688E-2</v>
      </c>
      <c r="H75" s="39">
        <f t="shared" ca="1" si="30"/>
        <v>15000</v>
      </c>
      <c r="I75" s="39"/>
      <c r="J75" s="39"/>
      <c r="K75" s="39">
        <f t="shared" ca="1" si="31"/>
        <v>18192.03</v>
      </c>
      <c r="L75" s="36">
        <f t="shared" ca="1" si="33"/>
        <v>47927.97</v>
      </c>
      <c r="M75" s="36"/>
      <c r="N75" s="36"/>
      <c r="O75" s="36"/>
      <c r="P75" s="36"/>
      <c r="Q75" s="36"/>
      <c r="R75" s="36">
        <v>1667.38</v>
      </c>
      <c r="S75" s="36">
        <v>167.5</v>
      </c>
      <c r="T75" s="36">
        <v>885.17</v>
      </c>
      <c r="U75" s="36">
        <v>221.98</v>
      </c>
      <c r="V75" s="36">
        <v>250</v>
      </c>
      <c r="W75" s="36"/>
      <c r="X75" s="36">
        <v>5000</v>
      </c>
      <c r="Y75" s="36">
        <v>10000</v>
      </c>
      <c r="Z75" s="36">
        <f t="shared" si="32"/>
        <v>18192.03</v>
      </c>
      <c r="AA75" s="36">
        <f t="shared" si="6"/>
        <v>-47927.97</v>
      </c>
      <c r="AB75" s="36"/>
      <c r="AC75" s="36"/>
      <c r="AD75" s="36"/>
      <c r="AE75" s="8"/>
      <c r="AF75" s="8"/>
      <c r="AG75" s="8"/>
      <c r="AH75" s="8"/>
      <c r="AI75" s="36"/>
      <c r="AJ75" s="8"/>
    </row>
    <row r="76" spans="1:36" ht="10.5" customHeight="1" x14ac:dyDescent="0.15">
      <c r="A76" s="8" t="s">
        <v>272</v>
      </c>
      <c r="B76" s="45" t="s">
        <v>273</v>
      </c>
      <c r="C76" s="45" t="s">
        <v>223</v>
      </c>
      <c r="D76" s="36">
        <v>15000</v>
      </c>
      <c r="E76" s="36">
        <v>15000</v>
      </c>
      <c r="F76" s="39">
        <f t="shared" ca="1" si="28"/>
        <v>2648.4700000000003</v>
      </c>
      <c r="G76" s="46">
        <f t="shared" ca="1" si="29"/>
        <v>0.17656466666666668</v>
      </c>
      <c r="H76" s="39">
        <f t="shared" ca="1" si="30"/>
        <v>7125.5</v>
      </c>
      <c r="I76" s="39"/>
      <c r="J76" s="39"/>
      <c r="K76" s="39">
        <f t="shared" ca="1" si="31"/>
        <v>9773.9700000000012</v>
      </c>
      <c r="L76" s="36">
        <f t="shared" ca="1" si="33"/>
        <v>5226.0299999999988</v>
      </c>
      <c r="M76" s="36"/>
      <c r="N76" s="36">
        <f>619</f>
        <v>619</v>
      </c>
      <c r="O76" s="36">
        <f>130</f>
        <v>130</v>
      </c>
      <c r="P76" s="36"/>
      <c r="Q76" s="36"/>
      <c r="R76" s="36"/>
      <c r="S76" s="36">
        <f>54.97</f>
        <v>54.97</v>
      </c>
      <c r="T76" s="36"/>
      <c r="U76" s="36"/>
      <c r="V76" s="36">
        <v>950</v>
      </c>
      <c r="W76" s="36">
        <f>65+829.5</f>
        <v>894.5</v>
      </c>
      <c r="X76" s="36">
        <f t="shared" ref="X76" si="38">14251/8*2</f>
        <v>3562.75</v>
      </c>
      <c r="Y76" s="36">
        <v>3562.75</v>
      </c>
      <c r="Z76" s="36">
        <f t="shared" si="32"/>
        <v>9773.9700000000012</v>
      </c>
      <c r="AA76" s="36">
        <f t="shared" si="6"/>
        <v>-5226.0299999999988</v>
      </c>
      <c r="AB76" s="36"/>
      <c r="AC76" s="36"/>
      <c r="AD76" s="36"/>
      <c r="AE76" s="8"/>
      <c r="AF76" s="8"/>
      <c r="AG76" s="8"/>
      <c r="AH76" s="8"/>
      <c r="AI76" s="36"/>
      <c r="AJ76" s="8"/>
    </row>
    <row r="77" spans="1:36" ht="12.75" customHeight="1" x14ac:dyDescent="0.15">
      <c r="A77" s="8" t="s">
        <v>274</v>
      </c>
      <c r="B77" s="45">
        <v>55667</v>
      </c>
      <c r="C77" s="45" t="s">
        <v>223</v>
      </c>
      <c r="D77" s="36">
        <v>25000</v>
      </c>
      <c r="E77" s="36">
        <v>25000</v>
      </c>
      <c r="F77" s="39">
        <f t="shared" ca="1" si="28"/>
        <v>8050</v>
      </c>
      <c r="G77" s="46">
        <f t="shared" ca="1" si="29"/>
        <v>0.32200000000000001</v>
      </c>
      <c r="H77" s="39">
        <f t="shared" ca="1" si="30"/>
        <v>16950</v>
      </c>
      <c r="I77" s="39"/>
      <c r="J77" s="39"/>
      <c r="K77" s="39">
        <f t="shared" ca="1" si="31"/>
        <v>25000</v>
      </c>
      <c r="L77" s="36">
        <f t="shared" ca="1" si="33"/>
        <v>0</v>
      </c>
      <c r="M77" s="36"/>
      <c r="N77" s="36"/>
      <c r="O77" s="36" t="s">
        <v>333</v>
      </c>
      <c r="P77" s="36"/>
      <c r="Q77" s="36">
        <f>9645-1595</f>
        <v>8050</v>
      </c>
      <c r="R77" s="36"/>
      <c r="S77" s="36"/>
      <c r="T77" s="36"/>
      <c r="U77" s="36"/>
      <c r="V77" s="36"/>
      <c r="W77" s="36"/>
      <c r="X77" s="36">
        <v>10650</v>
      </c>
      <c r="Y77" s="36">
        <v>6300</v>
      </c>
      <c r="Z77" s="36">
        <f t="shared" si="32"/>
        <v>25000</v>
      </c>
      <c r="AA77" s="36">
        <f t="shared" si="6"/>
        <v>0</v>
      </c>
      <c r="AB77" s="36"/>
      <c r="AC77" s="36"/>
      <c r="AD77" s="36"/>
      <c r="AE77" s="8"/>
      <c r="AF77" s="8"/>
      <c r="AG77" s="8"/>
      <c r="AH77" s="8"/>
      <c r="AI77" s="36"/>
      <c r="AJ77" s="8"/>
    </row>
    <row r="78" spans="1:36" ht="15" customHeight="1" x14ac:dyDescent="0.15">
      <c r="A78" s="1" t="s">
        <v>275</v>
      </c>
      <c r="B78" s="55"/>
      <c r="C78" s="55"/>
      <c r="D78" s="37">
        <f>SUM(D51:D77)</f>
        <v>2691913.04</v>
      </c>
      <c r="E78" s="37">
        <f>SUM(E51:E77)</f>
        <v>2721927</v>
      </c>
      <c r="F78" s="104">
        <f ca="1">SUM(F51:F77)</f>
        <v>1980802.8799999994</v>
      </c>
      <c r="G78" s="105">
        <f ca="1">IFERROR(F78/E78,0%)</f>
        <v>0.72772079486334473</v>
      </c>
      <c r="H78" s="104">
        <f ca="1">SUM(H51:H77)</f>
        <v>576021.73682539677</v>
      </c>
      <c r="I78" s="104"/>
      <c r="J78" s="104">
        <f>SUM(J51:J77)</f>
        <v>0</v>
      </c>
      <c r="K78" s="104">
        <f ca="1">SUM(K51:K77)</f>
        <v>2556824.6168253967</v>
      </c>
      <c r="L78" s="37">
        <f ca="1">SUM(L51:L77)</f>
        <v>165102.38317460331</v>
      </c>
      <c r="M78" s="36"/>
      <c r="N78" s="37">
        <f t="shared" ref="N78:T78" si="39">SUM(N51:N77)</f>
        <v>186603.39</v>
      </c>
      <c r="O78" s="37">
        <f t="shared" si="39"/>
        <v>296112.3</v>
      </c>
      <c r="P78" s="37">
        <f t="shared" si="39"/>
        <v>316724.92</v>
      </c>
      <c r="Q78" s="37">
        <f t="shared" si="39"/>
        <v>93066.239999999991</v>
      </c>
      <c r="R78" s="37">
        <f t="shared" si="39"/>
        <v>192133.39999999997</v>
      </c>
      <c r="S78" s="37">
        <f t="shared" si="39"/>
        <v>241229.66999999998</v>
      </c>
      <c r="T78" s="37">
        <f t="shared" si="39"/>
        <v>210586.61000000002</v>
      </c>
      <c r="U78" s="37">
        <f t="shared" ref="U78:Z78" si="40">SUM(U51:U77)</f>
        <v>85583.78</v>
      </c>
      <c r="V78" s="37">
        <f t="shared" si="40"/>
        <v>175981.46</v>
      </c>
      <c r="W78" s="37">
        <f t="shared" si="40"/>
        <v>182781.11000000002</v>
      </c>
      <c r="X78" s="37">
        <f t="shared" si="40"/>
        <v>306672.32015873014</v>
      </c>
      <c r="Y78" s="37">
        <f t="shared" si="40"/>
        <v>269349.41666666663</v>
      </c>
      <c r="Z78" s="37">
        <f t="shared" si="40"/>
        <v>2556824.6168253967</v>
      </c>
      <c r="AA78" s="36">
        <f t="shared" ref="AA78:AA110" si="41">Z78-E78</f>
        <v>-165102.38317460334</v>
      </c>
      <c r="AB78" s="36"/>
      <c r="AC78" s="36"/>
      <c r="AD78" s="37"/>
      <c r="AE78" s="37"/>
      <c r="AF78" s="37"/>
      <c r="AG78" s="8"/>
      <c r="AH78" s="8"/>
      <c r="AI78" s="36"/>
      <c r="AJ78" s="8"/>
    </row>
    <row r="79" spans="1:36" ht="11.25" customHeight="1" x14ac:dyDescent="0.15">
      <c r="A79" s="1"/>
      <c r="B79" s="55"/>
      <c r="C79" s="55"/>
      <c r="D79" s="37"/>
      <c r="E79" s="37"/>
      <c r="F79" s="104"/>
      <c r="G79" s="46"/>
      <c r="H79" s="104"/>
      <c r="I79" s="104"/>
      <c r="J79" s="104"/>
      <c r="K79" s="104"/>
      <c r="L79" s="37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>
        <f t="shared" si="41"/>
        <v>0</v>
      </c>
      <c r="AB79" s="36"/>
      <c r="AC79" s="36"/>
      <c r="AD79" s="36"/>
      <c r="AE79" s="8"/>
      <c r="AF79" s="8"/>
      <c r="AG79" s="8"/>
      <c r="AH79" s="8"/>
      <c r="AI79" s="36"/>
      <c r="AJ79" s="8"/>
    </row>
    <row r="80" spans="1:36" ht="10.5" customHeight="1" x14ac:dyDescent="0.15">
      <c r="A80" s="8" t="s">
        <v>276</v>
      </c>
      <c r="B80" s="45" t="s">
        <v>277</v>
      </c>
      <c r="C80" s="45" t="s">
        <v>223</v>
      </c>
      <c r="D80" s="36">
        <v>20500</v>
      </c>
      <c r="E80" s="36">
        <v>18500</v>
      </c>
      <c r="F80" s="39">
        <f t="shared" ref="F80:F93" ca="1" si="42">SUM(OFFSET(N80,0,0,1,VLOOKUP($L$7,$AG$4:$AH$15,2,FALSE)))</f>
        <v>7484.7199999999993</v>
      </c>
      <c r="G80" s="46">
        <f t="shared" ref="G80:G93" ca="1" si="43">IFERROR(F80/E80,0%)</f>
        <v>0.40457945945945945</v>
      </c>
      <c r="H80" s="39">
        <f t="shared" ref="H80:H93" ca="1" si="44">IFERROR(IF($L$7="june",0,SUM(OFFSET(Y80,0,0,1,(VLOOKUP($L$7,$AG$4:$AH$15,2,FALSE)-12)))),0)</f>
        <v>5000</v>
      </c>
      <c r="I80" s="39"/>
      <c r="J80" s="39"/>
      <c r="K80" s="39">
        <f t="shared" ref="K80:K93" ca="1" si="45">H80+F80</f>
        <v>12484.72</v>
      </c>
      <c r="L80" s="36">
        <f ca="1">E80-K80</f>
        <v>6015.2800000000007</v>
      </c>
      <c r="M80" s="36"/>
      <c r="N80" s="36">
        <f>491.25</f>
        <v>491.25</v>
      </c>
      <c r="O80" s="36"/>
      <c r="P80" s="36">
        <v>229.8</v>
      </c>
      <c r="Q80" s="36">
        <v>140.06</v>
      </c>
      <c r="R80" s="36">
        <v>146.82</v>
      </c>
      <c r="S80" s="36">
        <v>828.83</v>
      </c>
      <c r="T80" s="36">
        <v>25</v>
      </c>
      <c r="U80" s="36">
        <v>4097.8</v>
      </c>
      <c r="V80" s="36">
        <v>826.61</v>
      </c>
      <c r="W80" s="36">
        <f>291.06+407.49</f>
        <v>698.55</v>
      </c>
      <c r="X80" s="36">
        <v>2500</v>
      </c>
      <c r="Y80" s="36">
        <v>2500</v>
      </c>
      <c r="Z80" s="36">
        <f t="shared" ref="Z80:Z93" si="46">SUM(N80:Y80)</f>
        <v>12484.72</v>
      </c>
      <c r="AA80" s="36">
        <f t="shared" si="41"/>
        <v>-6015.2800000000007</v>
      </c>
      <c r="AB80" s="36"/>
      <c r="AC80" s="36"/>
      <c r="AD80" s="36"/>
      <c r="AE80" s="8"/>
      <c r="AF80" s="8"/>
      <c r="AG80" s="8"/>
      <c r="AH80" s="8"/>
      <c r="AI80" s="36"/>
      <c r="AJ80" s="8"/>
    </row>
    <row r="81" spans="1:36" ht="10.5" customHeight="1" x14ac:dyDescent="0.15">
      <c r="A81" s="8" t="s">
        <v>278</v>
      </c>
      <c r="B81" s="45">
        <v>56011</v>
      </c>
      <c r="C81" s="45" t="s">
        <v>223</v>
      </c>
      <c r="D81" s="36"/>
      <c r="E81" s="36"/>
      <c r="F81" s="39">
        <f t="shared" ca="1" si="42"/>
        <v>0</v>
      </c>
      <c r="G81" s="46">
        <f t="shared" ca="1" si="43"/>
        <v>0</v>
      </c>
      <c r="H81" s="39">
        <f t="shared" ca="1" si="44"/>
        <v>0</v>
      </c>
      <c r="I81" s="39"/>
      <c r="J81" s="39"/>
      <c r="K81" s="39">
        <f t="shared" ca="1" si="45"/>
        <v>0</v>
      </c>
      <c r="L81" s="36">
        <f t="shared" ref="L81:L93" ca="1" si="47">E81-K81</f>
        <v>0</v>
      </c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>
        <f t="shared" si="46"/>
        <v>0</v>
      </c>
      <c r="AA81" s="36">
        <f t="shared" si="41"/>
        <v>0</v>
      </c>
      <c r="AB81" s="36"/>
      <c r="AC81" s="36"/>
      <c r="AD81" s="36"/>
      <c r="AE81" s="8"/>
      <c r="AF81" s="8"/>
      <c r="AG81" s="8"/>
      <c r="AH81" s="8"/>
      <c r="AI81" s="36"/>
      <c r="AJ81" s="8"/>
    </row>
    <row r="82" spans="1:36" ht="10.5" customHeight="1" x14ac:dyDescent="0.15">
      <c r="A82" s="8" t="s">
        <v>279</v>
      </c>
      <c r="B82" s="45">
        <v>56110</v>
      </c>
      <c r="C82" s="45" t="s">
        <v>223</v>
      </c>
      <c r="D82" s="36">
        <v>16000</v>
      </c>
      <c r="E82" s="36">
        <v>13900</v>
      </c>
      <c r="F82" s="39">
        <f t="shared" ca="1" si="42"/>
        <v>5920.16</v>
      </c>
      <c r="G82" s="46">
        <f t="shared" ca="1" si="43"/>
        <v>0.42591079136690646</v>
      </c>
      <c r="H82" s="39">
        <f t="shared" ca="1" si="44"/>
        <v>5070.6757142857141</v>
      </c>
      <c r="I82" s="39"/>
      <c r="J82" s="39"/>
      <c r="K82" s="39">
        <f t="shared" ca="1" si="45"/>
        <v>10990.835714285713</v>
      </c>
      <c r="L82" s="36">
        <f t="shared" ca="1" si="47"/>
        <v>2909.164285714287</v>
      </c>
      <c r="M82" s="36"/>
      <c r="N82" s="36"/>
      <c r="O82" s="36"/>
      <c r="P82" s="36"/>
      <c r="Q82" s="36"/>
      <c r="R82" s="36">
        <f>275.88+221.39+1598</f>
        <v>2095.27</v>
      </c>
      <c r="S82" s="36">
        <v>75</v>
      </c>
      <c r="T82" s="36">
        <v>14.8</v>
      </c>
      <c r="U82" s="36">
        <f>244.3+223.59+189.28</f>
        <v>657.17</v>
      </c>
      <c r="V82" s="36">
        <f>187.98+365.79</f>
        <v>553.77</v>
      </c>
      <c r="W82" s="36">
        <f>1091.83+1374.24+58.08</f>
        <v>2524.1499999999996</v>
      </c>
      <c r="X82" s="36">
        <f t="shared" ref="X82" si="48">15502.73/7</f>
        <v>2214.6757142857141</v>
      </c>
      <c r="Y82" s="36">
        <v>2856</v>
      </c>
      <c r="Z82" s="36">
        <f t="shared" si="46"/>
        <v>10990.835714285713</v>
      </c>
      <c r="AA82" s="36">
        <f t="shared" si="41"/>
        <v>-2909.164285714287</v>
      </c>
      <c r="AB82" s="36"/>
      <c r="AC82" s="36"/>
      <c r="AD82" s="36"/>
      <c r="AE82" s="8"/>
      <c r="AF82" s="8"/>
      <c r="AG82" s="8"/>
      <c r="AH82" s="8"/>
      <c r="AI82" s="36"/>
      <c r="AJ82" s="8"/>
    </row>
    <row r="83" spans="1:36" ht="10.5" customHeight="1" x14ac:dyDescent="0.15">
      <c r="A83" s="8" t="s">
        <v>280</v>
      </c>
      <c r="B83" s="45">
        <v>56111</v>
      </c>
      <c r="C83" s="45" t="s">
        <v>223</v>
      </c>
      <c r="D83" s="36">
        <v>500</v>
      </c>
      <c r="E83" s="36">
        <v>1000</v>
      </c>
      <c r="F83" s="39">
        <f t="shared" ca="1" si="42"/>
        <v>673.62</v>
      </c>
      <c r="G83" s="46">
        <f t="shared" ca="1" si="43"/>
        <v>0.67362</v>
      </c>
      <c r="H83" s="39">
        <f t="shared" ca="1" si="44"/>
        <v>0</v>
      </c>
      <c r="I83" s="39"/>
      <c r="J83" s="39"/>
      <c r="K83" s="39">
        <f t="shared" ca="1" si="45"/>
        <v>673.62</v>
      </c>
      <c r="L83" s="36">
        <f t="shared" ca="1" si="47"/>
        <v>326.38</v>
      </c>
      <c r="M83" s="36"/>
      <c r="N83" s="36"/>
      <c r="O83" s="36">
        <v>160.75</v>
      </c>
      <c r="P83" s="36">
        <v>479.89</v>
      </c>
      <c r="Q83" s="36"/>
      <c r="R83" s="36"/>
      <c r="S83" s="36"/>
      <c r="T83" s="36">
        <v>32.979999999999997</v>
      </c>
      <c r="U83" s="36"/>
      <c r="V83" s="36"/>
      <c r="W83" s="36"/>
      <c r="X83" s="36"/>
      <c r="Y83" s="36"/>
      <c r="Z83" s="36">
        <f t="shared" si="46"/>
        <v>673.62</v>
      </c>
      <c r="AA83" s="36">
        <f t="shared" si="41"/>
        <v>-326.38</v>
      </c>
      <c r="AB83" s="36"/>
      <c r="AC83" s="36"/>
      <c r="AD83" s="36"/>
      <c r="AE83" s="8"/>
      <c r="AF83" s="8"/>
      <c r="AG83" s="8"/>
      <c r="AH83" s="8"/>
      <c r="AI83" s="36"/>
      <c r="AJ83" s="8"/>
    </row>
    <row r="84" spans="1:36" ht="10.5" customHeight="1" x14ac:dyDescent="0.15">
      <c r="A84" s="8" t="s">
        <v>281</v>
      </c>
      <c r="B84" s="45">
        <v>56120</v>
      </c>
      <c r="C84" s="45" t="s">
        <v>223</v>
      </c>
      <c r="D84" s="36"/>
      <c r="E84" s="36"/>
      <c r="F84" s="39">
        <f t="shared" ca="1" si="42"/>
        <v>0</v>
      </c>
      <c r="G84" s="46">
        <f t="shared" ca="1" si="43"/>
        <v>0</v>
      </c>
      <c r="H84" s="39">
        <f t="shared" ca="1" si="44"/>
        <v>0</v>
      </c>
      <c r="I84" s="39"/>
      <c r="J84" s="39"/>
      <c r="K84" s="39">
        <f t="shared" ca="1" si="45"/>
        <v>0</v>
      </c>
      <c r="L84" s="36">
        <f t="shared" ca="1" si="47"/>
        <v>0</v>
      </c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>
        <f t="shared" si="46"/>
        <v>0</v>
      </c>
      <c r="AA84" s="36">
        <f t="shared" si="41"/>
        <v>0</v>
      </c>
      <c r="AB84" s="36"/>
      <c r="AC84" s="36"/>
      <c r="AD84" s="36"/>
      <c r="AE84" s="8"/>
      <c r="AF84" s="8"/>
      <c r="AG84" s="8"/>
      <c r="AH84" s="8"/>
      <c r="AI84" s="36"/>
      <c r="AJ84" s="8"/>
    </row>
    <row r="85" spans="1:36" ht="10.5" customHeight="1" x14ac:dyDescent="0.15">
      <c r="A85" s="8" t="s">
        <v>282</v>
      </c>
      <c r="B85" s="45">
        <v>56141</v>
      </c>
      <c r="C85" s="45"/>
      <c r="D85" s="36"/>
      <c r="E85" s="36"/>
      <c r="F85" s="39">
        <f t="shared" ca="1" si="42"/>
        <v>109.38</v>
      </c>
      <c r="G85" s="46">
        <f t="shared" ca="1" si="43"/>
        <v>0</v>
      </c>
      <c r="H85" s="39">
        <f t="shared" ca="1" si="44"/>
        <v>0</v>
      </c>
      <c r="I85" s="39"/>
      <c r="J85" s="39"/>
      <c r="K85" s="39">
        <f t="shared" ca="1" si="45"/>
        <v>109.38</v>
      </c>
      <c r="L85" s="36">
        <f t="shared" ca="1" si="47"/>
        <v>-109.38</v>
      </c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>
        <v>109.38</v>
      </c>
      <c r="X85" s="36"/>
      <c r="Y85" s="36"/>
      <c r="Z85" s="36">
        <f t="shared" si="46"/>
        <v>109.38</v>
      </c>
      <c r="AA85" s="36">
        <f t="shared" si="41"/>
        <v>109.38</v>
      </c>
      <c r="AB85" s="36"/>
      <c r="AC85" s="36"/>
      <c r="AD85" s="36"/>
      <c r="AE85" s="8"/>
      <c r="AF85" s="8"/>
      <c r="AG85" s="8"/>
      <c r="AH85" s="8"/>
      <c r="AI85" s="36"/>
      <c r="AJ85" s="8"/>
    </row>
    <row r="86" spans="1:36" ht="10.5" customHeight="1" x14ac:dyDescent="0.15">
      <c r="A86" s="8" t="s">
        <v>283</v>
      </c>
      <c r="B86" s="45">
        <v>56145</v>
      </c>
      <c r="C86" s="45" t="s">
        <v>223</v>
      </c>
      <c r="D86" s="36">
        <v>236914</v>
      </c>
      <c r="E86" s="36">
        <v>236913</v>
      </c>
      <c r="F86" s="39">
        <f t="shared" ca="1" si="42"/>
        <v>110429.98000000001</v>
      </c>
      <c r="G86" s="46">
        <f t="shared" ca="1" si="43"/>
        <v>0.46612039018542678</v>
      </c>
      <c r="H86" s="39">
        <f t="shared" ca="1" si="44"/>
        <v>88759</v>
      </c>
      <c r="I86" s="39"/>
      <c r="J86" s="39"/>
      <c r="K86" s="39">
        <f t="shared" ca="1" si="45"/>
        <v>199188.98</v>
      </c>
      <c r="L86" s="36">
        <f t="shared" ca="1" si="47"/>
        <v>37724.01999999999</v>
      </c>
      <c r="M86" s="36"/>
      <c r="N86" s="36">
        <f>899</f>
        <v>899</v>
      </c>
      <c r="O86" s="36">
        <v>899</v>
      </c>
      <c r="P86" s="36">
        <f>36984+10636.5</f>
        <v>47620.5</v>
      </c>
      <c r="Q86" s="36">
        <v>40200</v>
      </c>
      <c r="R86" s="36">
        <v>481.82</v>
      </c>
      <c r="S86" s="36"/>
      <c r="T86" s="36"/>
      <c r="U86" s="36">
        <f>2466+64</f>
        <v>2530</v>
      </c>
      <c r="V86" s="36">
        <f>23.49+10499.99</f>
        <v>10523.48</v>
      </c>
      <c r="W86" s="36">
        <f>4544.99+2731.19</f>
        <v>7276.18</v>
      </c>
      <c r="X86" s="36">
        <v>25000</v>
      </c>
      <c r="Y86" s="36">
        <v>63759</v>
      </c>
      <c r="Z86" s="36">
        <f t="shared" si="46"/>
        <v>199188.98</v>
      </c>
      <c r="AA86" s="36">
        <f t="shared" si="41"/>
        <v>-37724.01999999999</v>
      </c>
      <c r="AB86" s="36"/>
      <c r="AC86" s="36"/>
      <c r="AD86" s="36"/>
      <c r="AE86" s="8"/>
      <c r="AF86" s="8"/>
      <c r="AG86" s="8"/>
      <c r="AH86" s="8"/>
      <c r="AI86" s="36"/>
      <c r="AJ86" s="8"/>
    </row>
    <row r="87" spans="1:36" ht="10.5" customHeight="1" x14ac:dyDescent="0.15">
      <c r="A87" s="8" t="s">
        <v>284</v>
      </c>
      <c r="B87" s="45">
        <v>56150</v>
      </c>
      <c r="C87" s="45" t="s">
        <v>223</v>
      </c>
      <c r="D87" s="36">
        <v>50000</v>
      </c>
      <c r="E87" s="36">
        <v>50000</v>
      </c>
      <c r="F87" s="39">
        <f t="shared" ca="1" si="42"/>
        <v>55276.369999999995</v>
      </c>
      <c r="G87" s="46">
        <f t="shared" ca="1" si="43"/>
        <v>1.1055273999999999</v>
      </c>
      <c r="H87" s="39">
        <f t="shared" ca="1" si="44"/>
        <v>9462</v>
      </c>
      <c r="I87" s="39"/>
      <c r="J87" s="39"/>
      <c r="K87" s="39">
        <f t="shared" ca="1" si="45"/>
        <v>64738.369999999995</v>
      </c>
      <c r="L87" s="36">
        <f t="shared" ca="1" si="47"/>
        <v>-14738.369999999995</v>
      </c>
      <c r="M87" s="36"/>
      <c r="N87" s="36">
        <f>685.01</f>
        <v>685.01</v>
      </c>
      <c r="O87" s="36"/>
      <c r="P87" s="36">
        <f>89.99+15447.86</f>
        <v>15537.85</v>
      </c>
      <c r="Q87" s="36">
        <f>2700+5099.4</f>
        <v>7799.4</v>
      </c>
      <c r="R87" s="36">
        <f>39.56+6808.31-800</f>
        <v>6047.8700000000008</v>
      </c>
      <c r="S87" s="36">
        <f>102.59+795.85+1834.34+2698+0.1</f>
        <v>5430.88</v>
      </c>
      <c r="T87" s="36">
        <f>117.6</f>
        <v>117.6</v>
      </c>
      <c r="U87" s="36">
        <f>778.72+71.94+724.42</f>
        <v>1575.08</v>
      </c>
      <c r="V87" s="36">
        <v>96.63</v>
      </c>
      <c r="W87" s="36">
        <f>1681.33+722.75+9104.09+477.88+6000</f>
        <v>17986.05</v>
      </c>
      <c r="X87" s="36">
        <v>4538</v>
      </c>
      <c r="Y87" s="36">
        <v>4924</v>
      </c>
      <c r="Z87" s="36">
        <f t="shared" si="46"/>
        <v>64738.369999999995</v>
      </c>
      <c r="AA87" s="36">
        <f t="shared" si="41"/>
        <v>14738.369999999995</v>
      </c>
      <c r="AB87" s="36"/>
      <c r="AC87" s="36"/>
      <c r="AD87" s="36"/>
      <c r="AE87" s="8"/>
      <c r="AF87" s="8"/>
      <c r="AG87" s="8"/>
      <c r="AH87" s="8"/>
      <c r="AI87" s="36"/>
      <c r="AJ87" s="8"/>
    </row>
    <row r="88" spans="1:36" ht="10.5" customHeight="1" x14ac:dyDescent="0.15">
      <c r="A88" s="8" t="s">
        <v>285</v>
      </c>
      <c r="B88" s="45">
        <v>56960</v>
      </c>
      <c r="C88" s="45" t="s">
        <v>223</v>
      </c>
      <c r="D88" s="36"/>
      <c r="E88" s="36">
        <v>0</v>
      </c>
      <c r="F88" s="39">
        <f t="shared" ca="1" si="42"/>
        <v>0</v>
      </c>
      <c r="G88" s="46">
        <f t="shared" ca="1" si="43"/>
        <v>0</v>
      </c>
      <c r="H88" s="39">
        <f t="shared" ca="1" si="44"/>
        <v>0</v>
      </c>
      <c r="I88" s="39"/>
      <c r="J88" s="39"/>
      <c r="K88" s="39">
        <f t="shared" ca="1" si="45"/>
        <v>0</v>
      </c>
      <c r="L88" s="36">
        <f t="shared" ca="1" si="47"/>
        <v>0</v>
      </c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>
        <f t="shared" si="46"/>
        <v>0</v>
      </c>
      <c r="AA88" s="36">
        <f t="shared" si="41"/>
        <v>0</v>
      </c>
      <c r="AB88" s="36"/>
      <c r="AC88" s="36"/>
      <c r="AD88" s="36"/>
      <c r="AE88" s="8"/>
      <c r="AF88" s="8"/>
      <c r="AG88" s="8"/>
      <c r="AH88" s="8"/>
      <c r="AI88" s="36"/>
      <c r="AJ88" s="8"/>
    </row>
    <row r="89" spans="1:36" ht="10.5" customHeight="1" x14ac:dyDescent="0.15">
      <c r="A89" s="8" t="s">
        <v>286</v>
      </c>
      <c r="B89" s="45">
        <v>56183</v>
      </c>
      <c r="C89" s="45" t="s">
        <v>223</v>
      </c>
      <c r="D89" s="36"/>
      <c r="E89" s="36">
        <v>0</v>
      </c>
      <c r="F89" s="39">
        <f t="shared" ca="1" si="42"/>
        <v>0</v>
      </c>
      <c r="G89" s="46">
        <f t="shared" ca="1" si="43"/>
        <v>0</v>
      </c>
      <c r="H89" s="39">
        <f t="shared" ca="1" si="44"/>
        <v>0</v>
      </c>
      <c r="I89" s="39"/>
      <c r="J89" s="39"/>
      <c r="K89" s="39">
        <f t="shared" ca="1" si="45"/>
        <v>0</v>
      </c>
      <c r="L89" s="36">
        <f t="shared" ca="1" si="47"/>
        <v>0</v>
      </c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>
        <f t="shared" si="46"/>
        <v>0</v>
      </c>
      <c r="AA89" s="36">
        <f t="shared" si="41"/>
        <v>0</v>
      </c>
      <c r="AB89" s="36"/>
      <c r="AC89" s="36"/>
      <c r="AD89" s="36"/>
      <c r="AE89" s="8"/>
      <c r="AF89" s="8"/>
      <c r="AG89" s="8"/>
      <c r="AH89" s="8"/>
      <c r="AI89" s="36"/>
      <c r="AJ89" s="8"/>
    </row>
    <row r="90" spans="1:36" ht="10.5" customHeight="1" x14ac:dyDescent="0.15">
      <c r="A90" s="8" t="s">
        <v>287</v>
      </c>
      <c r="B90" s="45">
        <v>56157</v>
      </c>
      <c r="C90" s="45" t="s">
        <v>223</v>
      </c>
      <c r="D90" s="36"/>
      <c r="E90" s="36">
        <v>0</v>
      </c>
      <c r="F90" s="39">
        <f t="shared" ca="1" si="42"/>
        <v>0</v>
      </c>
      <c r="G90" s="46">
        <f t="shared" ca="1" si="43"/>
        <v>0</v>
      </c>
      <c r="H90" s="39">
        <f t="shared" ca="1" si="44"/>
        <v>0</v>
      </c>
      <c r="I90" s="39"/>
      <c r="J90" s="39"/>
      <c r="K90" s="39">
        <f t="shared" ca="1" si="45"/>
        <v>0</v>
      </c>
      <c r="L90" s="36">
        <f t="shared" ca="1" si="47"/>
        <v>0</v>
      </c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>
        <f t="shared" si="46"/>
        <v>0</v>
      </c>
      <c r="AA90" s="36">
        <f t="shared" si="41"/>
        <v>0</v>
      </c>
      <c r="AB90" s="36"/>
      <c r="AC90" s="36"/>
      <c r="AD90" s="36"/>
      <c r="AE90" s="8"/>
      <c r="AF90" s="8"/>
      <c r="AG90" s="8"/>
      <c r="AH90" s="8"/>
      <c r="AI90" s="36"/>
      <c r="AJ90" s="8"/>
    </row>
    <row r="91" spans="1:36" ht="10.5" customHeight="1" x14ac:dyDescent="0.15">
      <c r="A91" s="8" t="s">
        <v>288</v>
      </c>
      <c r="B91" s="45">
        <v>56128</v>
      </c>
      <c r="C91" s="45" t="s">
        <v>223</v>
      </c>
      <c r="D91" s="36"/>
      <c r="E91" s="36">
        <v>0</v>
      </c>
      <c r="F91" s="39">
        <f t="shared" ca="1" si="42"/>
        <v>191.60000000000002</v>
      </c>
      <c r="G91" s="46">
        <f t="shared" ca="1" si="43"/>
        <v>0</v>
      </c>
      <c r="H91" s="39">
        <f t="shared" ca="1" si="44"/>
        <v>0</v>
      </c>
      <c r="I91" s="39"/>
      <c r="J91" s="39"/>
      <c r="K91" s="39">
        <f t="shared" ca="1" si="45"/>
        <v>191.60000000000002</v>
      </c>
      <c r="L91" s="36">
        <f t="shared" ca="1" si="47"/>
        <v>-191.60000000000002</v>
      </c>
      <c r="M91" s="36"/>
      <c r="N91" s="36"/>
      <c r="O91" s="36"/>
      <c r="P91" s="36"/>
      <c r="Q91" s="36"/>
      <c r="R91" s="36"/>
      <c r="S91" s="36"/>
      <c r="T91" s="36">
        <v>43.64</v>
      </c>
      <c r="U91" s="36"/>
      <c r="V91" s="36"/>
      <c r="W91" s="36">
        <v>147.96</v>
      </c>
      <c r="X91" s="36"/>
      <c r="Y91" s="36"/>
      <c r="Z91" s="36">
        <f t="shared" si="46"/>
        <v>191.60000000000002</v>
      </c>
      <c r="AA91" s="36">
        <f t="shared" si="41"/>
        <v>191.60000000000002</v>
      </c>
      <c r="AB91" s="36"/>
      <c r="AC91" s="36"/>
      <c r="AD91" s="36"/>
      <c r="AE91" s="8"/>
      <c r="AF91" s="8"/>
      <c r="AG91" s="8"/>
      <c r="AH91" s="8"/>
      <c r="AI91" s="36"/>
      <c r="AJ91" s="8"/>
    </row>
    <row r="92" spans="1:36" ht="10.5" customHeight="1" x14ac:dyDescent="0.15">
      <c r="A92" s="8" t="s">
        <v>289</v>
      </c>
      <c r="B92" s="45">
        <v>56950</v>
      </c>
      <c r="C92" s="45" t="s">
        <v>223</v>
      </c>
      <c r="D92" s="36">
        <v>5004</v>
      </c>
      <c r="E92" s="36">
        <v>5004</v>
      </c>
      <c r="F92" s="39">
        <f t="shared" ca="1" si="42"/>
        <v>5339.87</v>
      </c>
      <c r="G92" s="46">
        <f t="shared" ca="1" si="43"/>
        <v>1.0671203037569943</v>
      </c>
      <c r="H92" s="39">
        <f t="shared" ca="1" si="44"/>
        <v>0</v>
      </c>
      <c r="I92" s="39"/>
      <c r="J92" s="39"/>
      <c r="K92" s="39">
        <f t="shared" ca="1" si="45"/>
        <v>5339.87</v>
      </c>
      <c r="L92" s="36">
        <f t="shared" ca="1" si="47"/>
        <v>-335.86999999999989</v>
      </c>
      <c r="M92" s="36"/>
      <c r="N92" s="36"/>
      <c r="O92" s="36">
        <v>5004</v>
      </c>
      <c r="P92" s="36"/>
      <c r="Q92" s="36"/>
      <c r="R92" s="36"/>
      <c r="S92" s="36"/>
      <c r="T92" s="36"/>
      <c r="U92" s="36">
        <v>335.87</v>
      </c>
      <c r="V92" s="36"/>
      <c r="W92" s="36"/>
      <c r="X92" s="36"/>
      <c r="Y92" s="36"/>
      <c r="Z92" s="36">
        <f t="shared" si="46"/>
        <v>5339.87</v>
      </c>
      <c r="AA92" s="36">
        <f t="shared" si="41"/>
        <v>335.86999999999989</v>
      </c>
      <c r="AB92" s="36"/>
      <c r="AC92" s="36"/>
      <c r="AD92" s="36"/>
      <c r="AE92" s="8"/>
      <c r="AF92" s="8"/>
      <c r="AG92" s="8"/>
      <c r="AH92" s="8"/>
      <c r="AI92" s="36"/>
      <c r="AJ92" s="8"/>
    </row>
    <row r="93" spans="1:36" ht="10.5" customHeight="1" x14ac:dyDescent="0.15">
      <c r="A93" s="8" t="s">
        <v>290</v>
      </c>
      <c r="B93" s="45">
        <v>55681</v>
      </c>
      <c r="C93" s="45" t="s">
        <v>223</v>
      </c>
      <c r="D93" s="36">
        <v>300</v>
      </c>
      <c r="E93" s="36">
        <v>300</v>
      </c>
      <c r="F93" s="39">
        <f t="shared" ca="1" si="42"/>
        <v>712.59999999999991</v>
      </c>
      <c r="G93" s="46">
        <f t="shared" ca="1" si="43"/>
        <v>2.3753333333333329</v>
      </c>
      <c r="H93" s="39">
        <f t="shared" ca="1" si="44"/>
        <v>0</v>
      </c>
      <c r="I93" s="39"/>
      <c r="J93" s="39"/>
      <c r="K93" s="39">
        <f t="shared" ca="1" si="45"/>
        <v>712.59999999999991</v>
      </c>
      <c r="L93" s="36">
        <f t="shared" ca="1" si="47"/>
        <v>-412.59999999999991</v>
      </c>
      <c r="M93" s="36"/>
      <c r="N93" s="36">
        <v>300</v>
      </c>
      <c r="O93" s="36"/>
      <c r="P93" s="36"/>
      <c r="Q93" s="36"/>
      <c r="R93" s="36"/>
      <c r="S93" s="36"/>
      <c r="T93" s="36">
        <v>219.8</v>
      </c>
      <c r="U93" s="36">
        <v>192.8</v>
      </c>
      <c r="V93" s="36"/>
      <c r="W93" s="36"/>
      <c r="X93" s="36"/>
      <c r="Y93" s="36"/>
      <c r="Z93" s="36">
        <f t="shared" si="46"/>
        <v>712.59999999999991</v>
      </c>
      <c r="AA93" s="36">
        <f t="shared" si="41"/>
        <v>412.59999999999991</v>
      </c>
      <c r="AB93" s="36"/>
      <c r="AC93" s="36"/>
      <c r="AD93" s="36"/>
      <c r="AE93" s="8"/>
      <c r="AF93" s="8"/>
      <c r="AG93" s="8"/>
      <c r="AH93" s="8"/>
      <c r="AI93" s="36"/>
      <c r="AJ93" s="8"/>
    </row>
    <row r="94" spans="1:36" ht="11.25" customHeight="1" x14ac:dyDescent="0.15">
      <c r="A94" s="1" t="s">
        <v>291</v>
      </c>
      <c r="B94" s="1"/>
      <c r="C94" s="1"/>
      <c r="D94" s="37">
        <f>SUM(D80:D93)</f>
        <v>329218</v>
      </c>
      <c r="E94" s="37">
        <f>SUM(E80:E93)</f>
        <v>325617</v>
      </c>
      <c r="F94" s="104">
        <f ca="1">SUM(F80:F93)</f>
        <v>186138.30000000002</v>
      </c>
      <c r="G94" s="178">
        <f ca="1">IFERROR(F94/E94,0%)</f>
        <v>0.57164797906743203</v>
      </c>
      <c r="H94" s="104">
        <f ca="1">SUM(H80:H93)</f>
        <v>108291.67571428571</v>
      </c>
      <c r="I94" s="104"/>
      <c r="J94" s="104">
        <f>SUM(J80:J93)</f>
        <v>0</v>
      </c>
      <c r="K94" s="104">
        <f ca="1">SUM(K80:K93)</f>
        <v>294429.97571428568</v>
      </c>
      <c r="L94" s="37">
        <f ca="1">SUM(L80:L93)</f>
        <v>31187.024285714284</v>
      </c>
      <c r="M94" s="36"/>
      <c r="N94" s="37">
        <f t="shared" ref="N94:T94" si="49">SUM(N80:N93)</f>
        <v>2375.2600000000002</v>
      </c>
      <c r="O94" s="37">
        <f t="shared" si="49"/>
        <v>6063.75</v>
      </c>
      <c r="P94" s="37">
        <f t="shared" si="49"/>
        <v>63868.04</v>
      </c>
      <c r="Q94" s="37">
        <f t="shared" si="49"/>
        <v>48139.46</v>
      </c>
      <c r="R94" s="37">
        <f t="shared" si="49"/>
        <v>8771.7800000000007</v>
      </c>
      <c r="S94" s="37">
        <f t="shared" si="49"/>
        <v>6334.71</v>
      </c>
      <c r="T94" s="37">
        <f t="shared" si="49"/>
        <v>453.82</v>
      </c>
      <c r="U94" s="37">
        <f t="shared" ref="U94:Z94" si="50">SUM(U80:U93)</f>
        <v>9388.7199999999993</v>
      </c>
      <c r="V94" s="37">
        <f t="shared" si="50"/>
        <v>12000.49</v>
      </c>
      <c r="W94" s="37">
        <f t="shared" si="50"/>
        <v>28742.269999999997</v>
      </c>
      <c r="X94" s="37">
        <f t="shared" si="50"/>
        <v>34252.67571428571</v>
      </c>
      <c r="Y94" s="37">
        <f t="shared" si="50"/>
        <v>74039</v>
      </c>
      <c r="Z94" s="37">
        <f t="shared" si="50"/>
        <v>294429.97571428568</v>
      </c>
      <c r="AA94" s="36">
        <f t="shared" si="41"/>
        <v>-31187.024285714317</v>
      </c>
      <c r="AB94" s="36"/>
      <c r="AC94" s="36"/>
      <c r="AD94" s="36"/>
      <c r="AE94" s="37"/>
      <c r="AF94" s="8"/>
      <c r="AG94" s="8"/>
      <c r="AH94" s="8"/>
      <c r="AI94" s="37"/>
      <c r="AJ94" s="8"/>
    </row>
    <row r="95" spans="1:36" ht="4.5" customHeight="1" x14ac:dyDescent="0.15">
      <c r="A95" s="1"/>
      <c r="B95" s="1"/>
      <c r="C95" s="1"/>
      <c r="D95" s="37"/>
      <c r="E95" s="37"/>
      <c r="F95" s="104"/>
      <c r="G95" s="46"/>
      <c r="H95" s="104"/>
      <c r="I95" s="104"/>
      <c r="J95" s="104"/>
      <c r="K95" s="104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>
        <f t="shared" si="41"/>
        <v>0</v>
      </c>
      <c r="AB95" s="36"/>
      <c r="AC95" s="36"/>
      <c r="AD95" s="36"/>
      <c r="AE95" s="8"/>
      <c r="AF95" s="8"/>
      <c r="AG95" s="8"/>
      <c r="AH95" s="8"/>
      <c r="AI95" s="36"/>
      <c r="AJ95" s="8"/>
    </row>
    <row r="96" spans="1:36" ht="10.5" customHeight="1" x14ac:dyDescent="0.15">
      <c r="A96" s="1" t="s">
        <v>292</v>
      </c>
      <c r="B96" s="142"/>
      <c r="C96" s="142"/>
      <c r="D96" s="189"/>
      <c r="E96" s="59"/>
      <c r="F96" s="39"/>
      <c r="G96" s="39"/>
      <c r="H96" s="39"/>
      <c r="I96" s="39"/>
      <c r="J96" s="39"/>
      <c r="K96" s="39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7"/>
      <c r="Y96" s="37"/>
      <c r="Z96" s="37">
        <f>SUM(N96:Y96)</f>
        <v>0</v>
      </c>
      <c r="AA96" s="36">
        <f t="shared" si="41"/>
        <v>0</v>
      </c>
      <c r="AB96" s="36"/>
      <c r="AC96" s="36"/>
      <c r="AD96" s="36"/>
      <c r="AE96" s="8"/>
      <c r="AF96" s="8"/>
      <c r="AG96" s="8"/>
      <c r="AH96" s="8"/>
      <c r="AI96" s="36"/>
      <c r="AJ96" s="8"/>
    </row>
    <row r="97" spans="1:36" ht="3.75" customHeight="1" x14ac:dyDescent="0.15">
      <c r="A97" s="1"/>
      <c r="B97" s="1"/>
      <c r="C97" s="1"/>
      <c r="D97" s="37"/>
      <c r="E97" s="37"/>
      <c r="F97" s="104"/>
      <c r="G97" s="105"/>
      <c r="H97" s="104"/>
      <c r="I97" s="104"/>
      <c r="J97" s="104"/>
      <c r="K97" s="104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7"/>
      <c r="Y97" s="37"/>
      <c r="Z97" s="36"/>
      <c r="AA97" s="36">
        <f t="shared" si="41"/>
        <v>0</v>
      </c>
      <c r="AB97" s="36"/>
      <c r="AC97" s="36"/>
      <c r="AD97" s="36"/>
      <c r="AE97" s="8"/>
      <c r="AF97" s="8"/>
      <c r="AG97" s="8"/>
      <c r="AH97" s="8"/>
      <c r="AI97" s="36"/>
      <c r="AJ97" s="8"/>
    </row>
    <row r="98" spans="1:36" ht="10.5" customHeight="1" x14ac:dyDescent="0.15">
      <c r="A98" s="1" t="s">
        <v>293</v>
      </c>
      <c r="B98" s="1"/>
      <c r="C98" s="1"/>
      <c r="D98" s="37"/>
      <c r="E98" s="37"/>
      <c r="F98" s="104">
        <f ca="1">SUM(OFFSET(N98,0,0,1,VLOOKUP($L$7,$AG$4:$AH$15,2,FALSE)))</f>
        <v>0</v>
      </c>
      <c r="G98" s="105">
        <f ca="1">IFERROR(F98/E98,0%)</f>
        <v>0</v>
      </c>
      <c r="H98" s="104">
        <f ca="1">IFERROR(IF($L$7="june",0,SUM(OFFSET(Y98,0,0,1,(VLOOKUP($L$7,$AG$4:$AH$15,2,FALSE)-12)))),0)</f>
        <v>0</v>
      </c>
      <c r="I98" s="104"/>
      <c r="J98" s="104"/>
      <c r="K98" s="104">
        <f ca="1">H98+F98</f>
        <v>0</v>
      </c>
      <c r="L98" s="37">
        <f ca="1">+E98-K98</f>
        <v>0</v>
      </c>
      <c r="M98" s="36"/>
      <c r="N98" s="37"/>
      <c r="O98" s="37"/>
      <c r="P98" s="37"/>
      <c r="Q98" s="37"/>
      <c r="R98" s="37"/>
      <c r="S98" s="37"/>
      <c r="T98" s="37"/>
      <c r="U98" s="37"/>
      <c r="V98" s="37"/>
      <c r="W98" s="36"/>
      <c r="X98" s="37"/>
      <c r="Y98" s="37"/>
      <c r="Z98" s="37">
        <f>SUM(N98:Y98)</f>
        <v>0</v>
      </c>
      <c r="AA98" s="36">
        <f t="shared" si="41"/>
        <v>0</v>
      </c>
      <c r="AB98" s="36"/>
      <c r="AC98" s="36"/>
      <c r="AD98" s="36"/>
      <c r="AE98" s="8"/>
      <c r="AF98" s="8"/>
      <c r="AG98" s="8"/>
      <c r="AH98" s="8"/>
      <c r="AI98" s="36"/>
      <c r="AJ98" s="8"/>
    </row>
    <row r="99" spans="1:36" ht="4.5" customHeight="1" x14ac:dyDescent="0.15">
      <c r="A99" s="8"/>
      <c r="B99" s="8"/>
      <c r="C99" s="8"/>
      <c r="D99" s="36"/>
      <c r="E99" s="36"/>
      <c r="F99" s="104"/>
      <c r="G99" s="105"/>
      <c r="H99" s="104"/>
      <c r="I99" s="104"/>
      <c r="J99" s="104"/>
      <c r="K99" s="104"/>
      <c r="L99" s="37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>
        <f t="shared" si="41"/>
        <v>0</v>
      </c>
      <c r="AB99" s="36"/>
      <c r="AC99" s="36"/>
      <c r="AD99" s="36"/>
      <c r="AE99" s="8"/>
      <c r="AF99" s="8"/>
      <c r="AG99" s="8"/>
      <c r="AH99" s="8"/>
      <c r="AI99" s="36"/>
      <c r="AJ99" s="8"/>
    </row>
    <row r="100" spans="1:36" ht="10.5" customHeight="1" x14ac:dyDescent="0.15">
      <c r="A100" s="1" t="s">
        <v>294</v>
      </c>
      <c r="B100" s="1"/>
      <c r="C100" s="45" t="s">
        <v>295</v>
      </c>
      <c r="D100" s="37"/>
      <c r="E100" s="37">
        <v>0</v>
      </c>
      <c r="F100" s="104">
        <f ca="1">SUM(OFFSET(N100,0,0,1,VLOOKUP($L$7,$AG$4:$AH$15,2,FALSE)))</f>
        <v>0</v>
      </c>
      <c r="G100" s="105">
        <f ca="1">IFERROR(F100/E100,0%)</f>
        <v>0</v>
      </c>
      <c r="H100" s="104">
        <f ca="1">IFERROR(IF($L$7="june",0,SUM(OFFSET(Y100,0,0,1,(VLOOKUP($L$7,$AG$4:$AH$15,2,FALSE)-12)))),0)</f>
        <v>0</v>
      </c>
      <c r="I100" s="104"/>
      <c r="J100" s="104">
        <v>0</v>
      </c>
      <c r="K100" s="104">
        <f ca="1">H100+F100</f>
        <v>0</v>
      </c>
      <c r="L100" s="37">
        <f ca="1">+E100-K100</f>
        <v>0</v>
      </c>
      <c r="M100" s="37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7">
        <f>SUM(N100:Y100)</f>
        <v>0</v>
      </c>
      <c r="AA100" s="36">
        <f t="shared" si="41"/>
        <v>0</v>
      </c>
      <c r="AB100" s="36"/>
      <c r="AC100" s="36"/>
      <c r="AD100" s="36"/>
      <c r="AE100" s="8"/>
      <c r="AF100" s="8"/>
      <c r="AG100" s="8"/>
      <c r="AH100" s="8"/>
      <c r="AI100" s="36"/>
      <c r="AJ100" s="8"/>
    </row>
    <row r="101" spans="1:36" ht="4.5" customHeight="1" x14ac:dyDescent="0.15">
      <c r="A101" s="1"/>
      <c r="B101" s="1"/>
      <c r="C101" s="1"/>
      <c r="D101" s="37"/>
      <c r="E101" s="37"/>
      <c r="F101" s="104"/>
      <c r="G101" s="105"/>
      <c r="H101" s="104"/>
      <c r="I101" s="104"/>
      <c r="J101" s="104"/>
      <c r="K101" s="104"/>
      <c r="L101" s="37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7"/>
      <c r="AA101" s="36">
        <f t="shared" si="41"/>
        <v>0</v>
      </c>
      <c r="AB101" s="36"/>
      <c r="AC101" s="36"/>
      <c r="AD101" s="36"/>
      <c r="AE101" s="8"/>
      <c r="AF101" s="8"/>
      <c r="AG101" s="8"/>
      <c r="AH101" s="8"/>
      <c r="AI101" s="36"/>
      <c r="AJ101" s="8"/>
    </row>
    <row r="102" spans="1:36" ht="10.5" customHeight="1" x14ac:dyDescent="0.15">
      <c r="A102" s="1" t="s">
        <v>296</v>
      </c>
      <c r="B102" s="1"/>
      <c r="C102" s="1"/>
      <c r="D102" s="37">
        <f>(D13+D14+D15+D20+D23)*0.02</f>
        <v>106311.18000000001</v>
      </c>
      <c r="E102" s="37">
        <f>(SUM(E13:E20)+E23)*0.02</f>
        <v>121414.42</v>
      </c>
      <c r="F102" s="104">
        <f ca="1">SUM(OFFSET(N102,0,0,1,VLOOKUP($L$7,$AG$4:$AH$15,2,FALSE)))</f>
        <v>0</v>
      </c>
      <c r="G102" s="105">
        <f ca="1">IFERROR(F102/E102,0%)</f>
        <v>0</v>
      </c>
      <c r="H102" s="104">
        <f ca="1">IFERROR(IF($L$7="june",0,SUM(OFFSET(Y102,0,0,1,(VLOOKUP($L$7,$AG$4:$AH$15,2,FALSE)-12)))),0)</f>
        <v>121414.42</v>
      </c>
      <c r="I102" s="104"/>
      <c r="J102" s="104"/>
      <c r="K102" s="104">
        <f ca="1">H102+F102</f>
        <v>121414.42</v>
      </c>
      <c r="L102" s="37">
        <f ca="1">+E102-K102</f>
        <v>0</v>
      </c>
      <c r="M102" s="36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>
        <f>E102</f>
        <v>121414.42</v>
      </c>
      <c r="Z102" s="37">
        <f>SUM(N102:Y102)</f>
        <v>121414.42</v>
      </c>
      <c r="AA102" s="36">
        <f t="shared" si="41"/>
        <v>0</v>
      </c>
      <c r="AB102" s="36"/>
      <c r="AC102" s="36"/>
      <c r="AD102" s="36"/>
      <c r="AE102" s="8"/>
      <c r="AF102" s="8"/>
      <c r="AG102" s="8"/>
      <c r="AH102" s="8"/>
      <c r="AI102" s="36"/>
      <c r="AJ102" s="8"/>
    </row>
    <row r="103" spans="1:36" ht="5.25" customHeight="1" x14ac:dyDescent="0.15">
      <c r="A103" s="1"/>
      <c r="B103" s="1"/>
      <c r="C103" s="1"/>
      <c r="D103" s="37"/>
      <c r="E103" s="37"/>
      <c r="F103" s="104"/>
      <c r="G103" s="104"/>
      <c r="H103" s="104"/>
      <c r="I103" s="104"/>
      <c r="J103" s="104"/>
      <c r="K103" s="104"/>
      <c r="L103" s="37"/>
      <c r="M103" s="36"/>
      <c r="N103" s="37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>
        <f t="shared" si="41"/>
        <v>0</v>
      </c>
      <c r="AB103" s="36"/>
      <c r="AC103" s="36"/>
      <c r="AD103" s="36"/>
      <c r="AE103" s="8"/>
      <c r="AF103" s="8"/>
      <c r="AG103" s="8"/>
      <c r="AH103" s="8"/>
      <c r="AI103" s="36"/>
      <c r="AJ103" s="8"/>
    </row>
    <row r="104" spans="1:36" ht="12" customHeight="1" x14ac:dyDescent="0.15">
      <c r="A104" s="70" t="s">
        <v>297</v>
      </c>
      <c r="B104" s="70"/>
      <c r="C104" s="70"/>
      <c r="D104" s="188">
        <f>D102+D96+D94+D78+D49+D47+D39+D101+D100+D98</f>
        <v>7067524.8181999996</v>
      </c>
      <c r="E104" s="71">
        <f>E102+E96+E94+E78+E49+E47+E39+E101+E100+E98</f>
        <v>7324654.4199999999</v>
      </c>
      <c r="F104" s="71">
        <f ca="1">F102+F96+F94+F78+F49+F47+F39+F101+F100+F98</f>
        <v>5580128.9099999992</v>
      </c>
      <c r="G104" s="74">
        <f ca="1">IFERROR(F104/E104,0%)</f>
        <v>0.76182828431651783</v>
      </c>
      <c r="H104" s="71">
        <f ca="1">H102+H96+H94+H78+H49+H47+H39+H101+H100+H98</f>
        <v>1483299.7441316824</v>
      </c>
      <c r="I104" s="71"/>
      <c r="J104" s="71">
        <f>J102+J96+J94+J78+J49+J47+J39+J101+J100+J98</f>
        <v>0</v>
      </c>
      <c r="K104" s="71">
        <f ca="1">K102+K96+K94+K78+K49+K47+K39+K101+K100+K98</f>
        <v>7063428.6541316826</v>
      </c>
      <c r="L104" s="71">
        <f ca="1">L102+L96+L94+L78+L49+L47+L39+L101+L100+L98</f>
        <v>261225.76586831745</v>
      </c>
      <c r="M104" s="143"/>
      <c r="N104" s="71">
        <f t="shared" ref="N104:Z104" si="51">N102+N96+N94+N78+N49+N47+N39+N101+N100+N98</f>
        <v>703868.48</v>
      </c>
      <c r="O104" s="71">
        <f t="shared" si="51"/>
        <v>573391.49</v>
      </c>
      <c r="P104" s="71">
        <f t="shared" si="51"/>
        <v>695078.83</v>
      </c>
      <c r="Q104" s="71">
        <f t="shared" si="51"/>
        <v>441163.93999999994</v>
      </c>
      <c r="R104" s="71">
        <f t="shared" si="51"/>
        <v>523855.72</v>
      </c>
      <c r="S104" s="71">
        <f t="shared" si="51"/>
        <v>684680.3</v>
      </c>
      <c r="T104" s="71">
        <f t="shared" si="51"/>
        <v>540989.21</v>
      </c>
      <c r="U104" s="71">
        <f t="shared" si="51"/>
        <v>372303.74</v>
      </c>
      <c r="V104" s="71">
        <f t="shared" si="51"/>
        <v>492072.44999999995</v>
      </c>
      <c r="W104" s="71">
        <f t="shared" si="51"/>
        <v>552724.75</v>
      </c>
      <c r="X104" s="71">
        <f t="shared" si="51"/>
        <v>679644.8216690158</v>
      </c>
      <c r="Y104" s="71">
        <f t="shared" si="51"/>
        <v>803654.92246266664</v>
      </c>
      <c r="Z104" s="71">
        <f t="shared" si="51"/>
        <v>7063428.6541316826</v>
      </c>
      <c r="AA104" s="36">
        <f t="shared" si="41"/>
        <v>-261225.76586831734</v>
      </c>
      <c r="AB104" s="36"/>
      <c r="AC104" s="36"/>
      <c r="AD104" s="36"/>
      <c r="AE104" s="37"/>
      <c r="AF104" s="37"/>
      <c r="AG104" s="8"/>
      <c r="AH104" s="8"/>
      <c r="AI104" s="37"/>
      <c r="AJ104" s="8"/>
    </row>
    <row r="105" spans="1:36" ht="14.25" customHeight="1" x14ac:dyDescent="0.15">
      <c r="A105" s="1"/>
      <c r="B105" s="1"/>
      <c r="C105" s="1"/>
      <c r="D105" s="37"/>
      <c r="E105" s="37"/>
      <c r="F105" s="104"/>
      <c r="G105" s="104"/>
      <c r="H105" s="104"/>
      <c r="I105" s="104"/>
      <c r="J105" s="104"/>
      <c r="K105" s="104"/>
      <c r="L105" s="37"/>
      <c r="M105" s="36"/>
      <c r="N105" s="37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>
        <f t="shared" si="41"/>
        <v>0</v>
      </c>
      <c r="AB105" s="36"/>
      <c r="AC105" s="36"/>
      <c r="AD105" s="36"/>
      <c r="AE105" s="36"/>
      <c r="AF105" s="8"/>
      <c r="AG105" s="8"/>
      <c r="AH105" s="8"/>
      <c r="AI105" s="36"/>
      <c r="AJ105" s="8"/>
    </row>
    <row r="106" spans="1:36" ht="10.5" customHeight="1" x14ac:dyDescent="0.15">
      <c r="A106" s="144" t="s">
        <v>298</v>
      </c>
      <c r="B106" s="144"/>
      <c r="C106" s="144"/>
      <c r="D106" s="190">
        <f>+D28-D104</f>
        <v>795600.09180000052</v>
      </c>
      <c r="E106" s="145">
        <f>+E28-E104</f>
        <v>1032847.5800000001</v>
      </c>
      <c r="F106" s="145">
        <f ca="1">+F28-F104</f>
        <v>2723396.580000001</v>
      </c>
      <c r="G106" s="145"/>
      <c r="H106" s="145">
        <f ca="1">+H28-H104</f>
        <v>-647900.74413168244</v>
      </c>
      <c r="I106" s="145"/>
      <c r="J106" s="145">
        <f>+J28-J104</f>
        <v>0</v>
      </c>
      <c r="K106" s="145">
        <f ca="1">+K28-K104</f>
        <v>2075495.8358683176</v>
      </c>
      <c r="L106" s="145">
        <f ca="1">+L28+L104</f>
        <v>1042648.255868318</v>
      </c>
      <c r="M106" s="146"/>
      <c r="N106" s="145">
        <f t="shared" ref="N106:Z106" si="52">+N28-N104</f>
        <v>3776825.9999999995</v>
      </c>
      <c r="O106" s="145">
        <f t="shared" si="52"/>
        <v>-326724.52</v>
      </c>
      <c r="P106" s="145">
        <f t="shared" si="52"/>
        <v>-174156.65999999992</v>
      </c>
      <c r="Q106" s="145">
        <f t="shared" si="52"/>
        <v>350756.80000000016</v>
      </c>
      <c r="R106" s="145">
        <f t="shared" si="52"/>
        <v>-452988.67999999993</v>
      </c>
      <c r="S106" s="145">
        <f t="shared" si="52"/>
        <v>680015.95</v>
      </c>
      <c r="T106" s="145">
        <f t="shared" si="52"/>
        <v>135298.06999999983</v>
      </c>
      <c r="U106" s="145">
        <f t="shared" si="52"/>
        <v>-294016.49999999971</v>
      </c>
      <c r="V106" s="145">
        <f t="shared" si="52"/>
        <v>-471816.55999999982</v>
      </c>
      <c r="W106" s="145">
        <f t="shared" si="52"/>
        <v>-499797.32</v>
      </c>
      <c r="X106" s="145">
        <f t="shared" si="52"/>
        <v>-647702.8216690158</v>
      </c>
      <c r="Y106" s="145">
        <f t="shared" si="52"/>
        <v>-197.92246266664006</v>
      </c>
      <c r="Z106" s="145">
        <f t="shared" si="52"/>
        <v>2075495.8358683176</v>
      </c>
      <c r="AA106" s="36">
        <f t="shared" si="41"/>
        <v>1042648.2558683176</v>
      </c>
      <c r="AB106" s="36"/>
      <c r="AC106" s="36"/>
      <c r="AD106" s="36"/>
      <c r="AE106" s="37"/>
      <c r="AF106" s="8"/>
      <c r="AG106" s="8"/>
      <c r="AH106" s="8"/>
      <c r="AI106" s="36"/>
      <c r="AJ106" s="8"/>
    </row>
    <row r="107" spans="1:36" ht="5.25" customHeight="1" x14ac:dyDescent="0.15">
      <c r="A107" s="8"/>
      <c r="B107" s="8"/>
      <c r="C107" s="8"/>
      <c r="D107" s="36"/>
      <c r="E107" s="36"/>
      <c r="F107" s="39"/>
      <c r="G107" s="39"/>
      <c r="H107" s="39"/>
      <c r="I107" s="39"/>
      <c r="J107" s="39"/>
      <c r="K107" s="39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>
        <f t="shared" si="41"/>
        <v>0</v>
      </c>
      <c r="AB107" s="36"/>
      <c r="AC107" s="36"/>
      <c r="AD107" s="36"/>
      <c r="AE107" s="8"/>
      <c r="AF107" s="8"/>
      <c r="AG107" s="9"/>
      <c r="AH107" s="8"/>
      <c r="AI107" s="36"/>
      <c r="AJ107" s="8"/>
    </row>
    <row r="108" spans="1:36" ht="10.5" customHeight="1" x14ac:dyDescent="0.15">
      <c r="A108" s="1"/>
      <c r="B108" s="37"/>
      <c r="C108" s="37"/>
      <c r="D108" s="37"/>
      <c r="E108" s="37"/>
      <c r="F108" s="104"/>
      <c r="G108" s="104"/>
      <c r="H108" s="104"/>
      <c r="I108" s="104"/>
      <c r="J108" s="104"/>
      <c r="K108" s="104"/>
      <c r="L108" s="37"/>
      <c r="M108" s="36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6">
        <f t="shared" si="41"/>
        <v>0</v>
      </c>
      <c r="AB108" s="36"/>
      <c r="AC108" s="36"/>
      <c r="AD108" s="36"/>
      <c r="AE108" s="8"/>
      <c r="AF108" s="8"/>
      <c r="AG108" s="9"/>
      <c r="AH108" s="8"/>
      <c r="AI108" s="8"/>
      <c r="AJ108" s="8"/>
    </row>
    <row r="109" spans="1:36" ht="4.5" customHeight="1" x14ac:dyDescent="0.15">
      <c r="A109" s="1"/>
      <c r="B109" s="1"/>
      <c r="C109" s="1"/>
      <c r="D109" s="37"/>
      <c r="E109" s="37"/>
      <c r="F109" s="37"/>
      <c r="G109" s="37"/>
      <c r="H109" s="37"/>
      <c r="I109" s="37"/>
      <c r="J109" s="37"/>
      <c r="K109" s="36"/>
      <c r="L109" s="36"/>
      <c r="M109" s="36"/>
      <c r="N109" s="36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6">
        <f t="shared" si="41"/>
        <v>0</v>
      </c>
      <c r="AB109" s="36"/>
      <c r="AC109" s="36"/>
      <c r="AD109" s="36"/>
      <c r="AE109" s="8"/>
      <c r="AF109" s="8"/>
      <c r="AG109" s="9"/>
      <c r="AH109" s="8"/>
      <c r="AI109" s="8"/>
      <c r="AJ109" s="8"/>
    </row>
    <row r="110" spans="1:36" ht="10.5" customHeight="1" x14ac:dyDescent="0.15">
      <c r="A110" s="144" t="s">
        <v>299</v>
      </c>
      <c r="B110" s="144"/>
      <c r="C110" s="144"/>
      <c r="D110" s="190">
        <f>SUM(D106:D109)</f>
        <v>795600.09180000052</v>
      </c>
      <c r="E110" s="145">
        <f>SUM(E106:E109)</f>
        <v>1032847.5800000001</v>
      </c>
      <c r="F110" s="145">
        <f ca="1">SUM(F106:F109)</f>
        <v>2723396.580000001</v>
      </c>
      <c r="G110" s="145"/>
      <c r="H110" s="145">
        <f ca="1">SUM(H106:H109)</f>
        <v>-647900.74413168244</v>
      </c>
      <c r="I110" s="145"/>
      <c r="J110" s="145">
        <f>SUM(J106:J109)</f>
        <v>0</v>
      </c>
      <c r="K110" s="145">
        <f ca="1">K106-K108</f>
        <v>2075495.8358683176</v>
      </c>
      <c r="L110" s="145">
        <f ca="1">L106-L108</f>
        <v>1042648.255868318</v>
      </c>
      <c r="M110" s="146"/>
      <c r="N110" s="145">
        <f>+M110+N106+N108</f>
        <v>3776825.9999999995</v>
      </c>
      <c r="O110" s="145">
        <f t="shared" ref="O110:Y110" si="53">+N110+O106-O108</f>
        <v>3450101.4799999995</v>
      </c>
      <c r="P110" s="145">
        <f t="shared" si="53"/>
        <v>3275944.8199999994</v>
      </c>
      <c r="Q110" s="145">
        <f t="shared" si="53"/>
        <v>3626701.6199999996</v>
      </c>
      <c r="R110" s="147">
        <f t="shared" si="53"/>
        <v>3173712.9399999995</v>
      </c>
      <c r="S110" s="147">
        <f t="shared" si="53"/>
        <v>3853728.8899999997</v>
      </c>
      <c r="T110" s="145">
        <f t="shared" si="53"/>
        <v>3989026.9599999995</v>
      </c>
      <c r="U110" s="145">
        <f t="shared" si="53"/>
        <v>3695010.46</v>
      </c>
      <c r="V110" s="145">
        <f t="shared" si="53"/>
        <v>3223193.9000000004</v>
      </c>
      <c r="W110" s="145">
        <f t="shared" si="53"/>
        <v>2723396.5800000005</v>
      </c>
      <c r="X110" s="145">
        <f t="shared" si="53"/>
        <v>2075693.7583309847</v>
      </c>
      <c r="Y110" s="145">
        <f t="shared" si="53"/>
        <v>2075495.8358683181</v>
      </c>
      <c r="Z110" s="145">
        <f>+Z106+Z108</f>
        <v>2075495.8358683176</v>
      </c>
      <c r="AA110" s="36">
        <f t="shared" si="41"/>
        <v>1042648.2558683176</v>
      </c>
      <c r="AB110" s="36"/>
      <c r="AC110" s="36"/>
      <c r="AD110" s="36"/>
      <c r="AE110" s="8"/>
      <c r="AF110" s="8"/>
      <c r="AG110" s="9"/>
      <c r="AH110" s="8"/>
      <c r="AI110" s="36"/>
      <c r="AJ110" s="8"/>
    </row>
    <row r="111" spans="1:36" ht="15" customHeight="1" x14ac:dyDescent="0.2">
      <c r="A111" s="1" t="s">
        <v>8</v>
      </c>
      <c r="B111" s="148"/>
      <c r="C111" s="148"/>
      <c r="D111" s="191"/>
      <c r="E111" s="58"/>
      <c r="F111" s="177">
        <v>137634.32999999999</v>
      </c>
      <c r="G111" s="149"/>
      <c r="H111" s="148"/>
      <c r="I111" s="148"/>
      <c r="J111" s="8"/>
      <c r="K111" s="36"/>
      <c r="L111" s="8"/>
      <c r="M111" s="8"/>
      <c r="N111" s="37">
        <v>29176.94</v>
      </c>
      <c r="O111" s="37">
        <v>169033.64</v>
      </c>
      <c r="P111" s="37">
        <v>136352.04999999999</v>
      </c>
      <c r="Q111" s="37">
        <v>40533.449999999997</v>
      </c>
      <c r="R111" s="150">
        <v>55399.8</v>
      </c>
      <c r="S111" s="149">
        <v>15218</v>
      </c>
      <c r="T111" s="149">
        <v>115614.67</v>
      </c>
      <c r="U111" s="149">
        <v>219583</v>
      </c>
      <c r="V111" s="149">
        <v>137634.32999999999</v>
      </c>
      <c r="W111" s="149">
        <v>237099.17</v>
      </c>
      <c r="X111" s="149"/>
      <c r="Y111" s="149"/>
      <c r="Z111" s="36"/>
      <c r="AA111" s="8"/>
      <c r="AB111" s="36"/>
      <c r="AC111" s="8"/>
      <c r="AD111" s="8"/>
      <c r="AE111" s="8"/>
      <c r="AF111" s="8"/>
      <c r="AG111" s="9"/>
      <c r="AH111" s="8"/>
      <c r="AI111" s="8"/>
      <c r="AJ111" s="8"/>
    </row>
    <row r="112" spans="1:36" ht="15.75" customHeight="1" x14ac:dyDescent="0.2">
      <c r="A112" s="1" t="s">
        <v>300</v>
      </c>
      <c r="B112" s="148"/>
      <c r="C112" s="148"/>
      <c r="D112" s="191"/>
      <c r="E112" s="58"/>
      <c r="F112" s="151">
        <f ca="1">F110-F111</f>
        <v>2585762.2500000009</v>
      </c>
      <c r="G112" s="152"/>
      <c r="H112" s="148"/>
      <c r="I112" s="148"/>
      <c r="J112" s="8"/>
      <c r="K112" s="36"/>
      <c r="L112" s="36"/>
      <c r="M112" s="8"/>
      <c r="N112" s="37">
        <f t="shared" ref="N112:Y112" si="54">N110-N111</f>
        <v>3747649.0599999996</v>
      </c>
      <c r="O112" s="37">
        <f t="shared" si="54"/>
        <v>3281067.8399999994</v>
      </c>
      <c r="P112" s="37">
        <f t="shared" si="54"/>
        <v>3139592.7699999996</v>
      </c>
      <c r="Q112" s="37">
        <f t="shared" si="54"/>
        <v>3586168.1699999995</v>
      </c>
      <c r="R112" s="37">
        <f t="shared" si="54"/>
        <v>3118313.1399999997</v>
      </c>
      <c r="S112" s="37">
        <f t="shared" si="54"/>
        <v>3838510.8899999997</v>
      </c>
      <c r="T112" s="37">
        <f t="shared" si="54"/>
        <v>3873412.2899999996</v>
      </c>
      <c r="U112" s="37">
        <f t="shared" si="54"/>
        <v>3475427.46</v>
      </c>
      <c r="V112" s="37">
        <f t="shared" si="54"/>
        <v>3085559.5700000003</v>
      </c>
      <c r="W112" s="37">
        <f t="shared" si="54"/>
        <v>2486297.4100000006</v>
      </c>
      <c r="X112" s="37">
        <f t="shared" si="54"/>
        <v>2075693.7583309847</v>
      </c>
      <c r="Y112" s="37">
        <f t="shared" si="54"/>
        <v>2075495.8358683181</v>
      </c>
      <c r="Z112" s="36">
        <f>Z110-E26</f>
        <v>976588.83586831763</v>
      </c>
      <c r="AA112" s="36"/>
      <c r="AB112" s="36"/>
      <c r="AC112" s="8"/>
      <c r="AD112" s="8"/>
      <c r="AE112" s="8"/>
      <c r="AF112" s="8"/>
      <c r="AG112" s="9"/>
      <c r="AH112" s="8"/>
      <c r="AI112" s="8"/>
      <c r="AJ112" s="8"/>
    </row>
    <row r="113" spans="1:36" ht="11.25" customHeight="1" x14ac:dyDescent="0.2">
      <c r="A113" s="8"/>
      <c r="B113" s="148"/>
      <c r="C113" s="148"/>
      <c r="D113" s="191"/>
      <c r="E113" s="58"/>
      <c r="F113" s="151"/>
      <c r="G113" s="148"/>
      <c r="H113" s="148"/>
      <c r="I113" s="148"/>
      <c r="J113" s="36"/>
      <c r="K113" s="36"/>
      <c r="L113" s="36"/>
      <c r="M113" s="8"/>
      <c r="N113" s="58"/>
      <c r="O113" s="37"/>
      <c r="P113" s="37"/>
      <c r="Q113" s="148"/>
      <c r="R113" s="37"/>
      <c r="S113" s="148"/>
      <c r="T113" s="148"/>
      <c r="U113" s="58"/>
      <c r="V113" s="58"/>
      <c r="W113" s="37"/>
      <c r="X113" s="148"/>
      <c r="Y113" s="36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1:36" ht="11.25" customHeight="1" x14ac:dyDescent="0.15">
      <c r="A114" s="153" t="s">
        <v>301</v>
      </c>
      <c r="B114" s="153"/>
      <c r="C114" s="153"/>
      <c r="D114" s="192">
        <f>D106+D102</f>
        <v>901911.27180000057</v>
      </c>
      <c r="E114" s="192">
        <f>E106+E102</f>
        <v>1154262</v>
      </c>
      <c r="F114" s="155"/>
      <c r="G114" s="156"/>
      <c r="H114" s="8"/>
      <c r="I114" s="8"/>
      <c r="J114" s="8"/>
      <c r="K114" s="8"/>
      <c r="L114" s="36"/>
      <c r="M114" s="8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  <c r="Y114" s="36"/>
      <c r="Z114" s="36"/>
      <c r="AA114" s="36"/>
      <c r="AB114" s="36"/>
      <c r="AC114" s="8"/>
      <c r="AD114" s="8"/>
      <c r="AE114" s="8"/>
      <c r="AF114" s="8"/>
      <c r="AG114" s="8"/>
      <c r="AH114" s="8"/>
      <c r="AI114" s="8"/>
      <c r="AJ114" s="8"/>
    </row>
    <row r="115" spans="1:36" ht="11.25" customHeight="1" x14ac:dyDescent="0.15">
      <c r="A115" s="153" t="s">
        <v>302</v>
      </c>
      <c r="B115" s="153"/>
      <c r="C115" s="153"/>
      <c r="D115" s="192">
        <f>D114-D26</f>
        <v>-196995.63819999935</v>
      </c>
      <c r="E115" s="192">
        <f>E114-E26</f>
        <v>55355</v>
      </c>
      <c r="F115" s="154"/>
      <c r="G115" s="36"/>
      <c r="H115" s="8"/>
      <c r="I115" s="8"/>
      <c r="J115" s="8"/>
      <c r="K115" s="8"/>
      <c r="L115" s="157"/>
      <c r="M115" s="8"/>
      <c r="N115" s="157"/>
      <c r="O115" s="157"/>
      <c r="P115" s="157"/>
      <c r="Q115" s="157"/>
      <c r="R115" s="36"/>
      <c r="S115" s="36"/>
      <c r="T115" s="157"/>
      <c r="U115" s="36"/>
      <c r="V115" s="36"/>
      <c r="W115" s="157"/>
      <c r="X115" s="36"/>
      <c r="Y115" s="36"/>
      <c r="Z115" s="8"/>
      <c r="AA115" s="36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1:36" ht="11.25" customHeight="1" x14ac:dyDescent="0.15">
      <c r="A116" s="8"/>
      <c r="B116" s="8"/>
      <c r="C116" s="8"/>
      <c r="D116" s="8"/>
      <c r="E116" s="8"/>
      <c r="F116" s="36"/>
      <c r="G116" s="8"/>
      <c r="H116" s="8"/>
      <c r="I116" s="8"/>
      <c r="J116" s="8"/>
      <c r="K116" s="8"/>
      <c r="L116" s="157"/>
      <c r="M116" s="8"/>
      <c r="N116" s="36"/>
      <c r="O116" s="8"/>
      <c r="P116" s="8"/>
      <c r="Q116" s="8"/>
      <c r="R116" s="8"/>
      <c r="S116" s="157"/>
      <c r="T116" s="8"/>
      <c r="U116" s="8"/>
      <c r="V116" s="36"/>
      <c r="W116" s="157"/>
      <c r="X116" s="36"/>
      <c r="Y116" s="36"/>
      <c r="Z116" s="36"/>
      <c r="AA116" s="36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1:36" ht="11.25" customHeight="1" x14ac:dyDescent="0.15">
      <c r="B117" s="8"/>
      <c r="C117" s="8"/>
      <c r="D117" s="36"/>
      <c r="E117" s="8"/>
      <c r="F117" s="156"/>
      <c r="G117" s="8"/>
      <c r="H117" s="8"/>
      <c r="I117" s="8"/>
      <c r="J117" s="8"/>
      <c r="K117" s="8"/>
      <c r="L117" s="8"/>
      <c r="M117" s="8"/>
      <c r="N117" s="8"/>
      <c r="O117" s="36"/>
      <c r="P117" s="8"/>
      <c r="Q117" s="36"/>
      <c r="R117" s="36"/>
      <c r="S117" s="36"/>
      <c r="T117" s="8"/>
      <c r="U117" s="8"/>
      <c r="V117" s="8"/>
      <c r="W117" s="8"/>
      <c r="X117" s="8"/>
      <c r="Y117" s="157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1:36" ht="11.25" customHeight="1" x14ac:dyDescent="0.1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36"/>
      <c r="U118" s="8"/>
      <c r="V118" s="8"/>
      <c r="W118" s="8"/>
      <c r="X118" s="157"/>
      <c r="Y118" s="157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1:36" ht="11.25" customHeight="1" x14ac:dyDescent="0.15">
      <c r="A119" s="8"/>
      <c r="B119" s="8"/>
      <c r="C119" s="8"/>
      <c r="D119" s="36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36"/>
      <c r="T119" s="8"/>
      <c r="U119" s="8"/>
      <c r="V119" s="8"/>
      <c r="W119" s="156"/>
      <c r="X119" s="8"/>
      <c r="Y119" s="157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1:36" ht="11.25" customHeight="1" x14ac:dyDescent="0.1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36"/>
      <c r="T120" s="8"/>
      <c r="U120" s="8"/>
      <c r="V120" s="8"/>
      <c r="W120" s="8"/>
      <c r="X120" s="8"/>
      <c r="Y120" s="157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1:36" ht="11.25" customHeight="1" x14ac:dyDescent="0.15">
      <c r="A121" s="8"/>
      <c r="B121" s="8"/>
      <c r="C121" s="8"/>
      <c r="D121" s="36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1:36" ht="11.25" customHeight="1" x14ac:dyDescent="0.1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9"/>
      <c r="AH122" s="8"/>
      <c r="AI122" s="8"/>
      <c r="AJ122" s="8"/>
    </row>
    <row r="123" spans="1:36" ht="11.25" customHeight="1" x14ac:dyDescent="0.1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9"/>
      <c r="AH123" s="8"/>
      <c r="AI123" s="8"/>
      <c r="AJ123" s="8"/>
    </row>
    <row r="124" spans="1:36" ht="11.25" customHeight="1" x14ac:dyDescent="0.1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9"/>
      <c r="AH124" s="8"/>
      <c r="AI124" s="8"/>
      <c r="AJ124" s="8"/>
    </row>
    <row r="125" spans="1:36" ht="11.25" customHeight="1" x14ac:dyDescent="0.1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9"/>
      <c r="AH125" s="8"/>
      <c r="AI125" s="8"/>
      <c r="AJ125" s="8"/>
    </row>
    <row r="126" spans="1:36" ht="11.25" customHeight="1" x14ac:dyDescent="0.1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9"/>
      <c r="AH126" s="8"/>
      <c r="AI126" s="8"/>
      <c r="AJ126" s="8"/>
    </row>
    <row r="127" spans="1:36" ht="11.25" customHeight="1" x14ac:dyDescent="0.1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9"/>
      <c r="AH127" s="8"/>
      <c r="AI127" s="8"/>
      <c r="AJ127" s="8"/>
    </row>
    <row r="128" spans="1:36" ht="11.25" customHeight="1" x14ac:dyDescent="0.1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36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9"/>
      <c r="AH128" s="8"/>
      <c r="AI128" s="8"/>
      <c r="AJ128" s="8"/>
    </row>
    <row r="129" spans="1:36" ht="11.25" customHeight="1" x14ac:dyDescent="0.1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36"/>
      <c r="R129" s="8"/>
      <c r="S129" s="157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9"/>
      <c r="AH129" s="8"/>
      <c r="AI129" s="8"/>
      <c r="AJ129" s="8"/>
    </row>
    <row r="130" spans="1:36" ht="11.25" customHeight="1" x14ac:dyDescent="0.1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36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9"/>
      <c r="AH130" s="8"/>
      <c r="AI130" s="8"/>
      <c r="AJ130" s="8"/>
    </row>
    <row r="131" spans="1:36" ht="11.25" customHeight="1" x14ac:dyDescent="0.1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9"/>
      <c r="AH131" s="8"/>
      <c r="AI131" s="8"/>
      <c r="AJ131" s="8"/>
    </row>
    <row r="132" spans="1:36" ht="11.25" customHeight="1" x14ac:dyDescent="0.1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9"/>
      <c r="AH132" s="8"/>
      <c r="AI132" s="8"/>
      <c r="AJ132" s="8"/>
    </row>
    <row r="133" spans="1:36" ht="11.25" customHeight="1" x14ac:dyDescent="0.1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9"/>
      <c r="AH133" s="8"/>
      <c r="AI133" s="8"/>
      <c r="AJ133" s="8"/>
    </row>
    <row r="134" spans="1:36" ht="11.25" customHeight="1" x14ac:dyDescent="0.1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"/>
      <c r="AH134" s="8"/>
      <c r="AI134" s="8"/>
      <c r="AJ134" s="8"/>
    </row>
    <row r="135" spans="1:36" ht="11.25" customHeight="1" x14ac:dyDescent="0.1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"/>
      <c r="AH135" s="8"/>
      <c r="AI135" s="8"/>
      <c r="AJ135" s="8"/>
    </row>
    <row r="136" spans="1:36" ht="11.25" customHeight="1" x14ac:dyDescent="0.1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9"/>
      <c r="AH136" s="8"/>
      <c r="AI136" s="8"/>
      <c r="AJ136" s="8"/>
    </row>
    <row r="137" spans="1:36" ht="11.25" customHeight="1" x14ac:dyDescent="0.1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9"/>
      <c r="AH137" s="8"/>
      <c r="AI137" s="8"/>
      <c r="AJ137" s="8"/>
    </row>
    <row r="138" spans="1:36" ht="11.25" customHeight="1" x14ac:dyDescent="0.1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9"/>
      <c r="AH138" s="8"/>
      <c r="AI138" s="8"/>
      <c r="AJ138" s="8"/>
    </row>
    <row r="139" spans="1:36" ht="11.25" customHeight="1" x14ac:dyDescent="0.1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9"/>
      <c r="AH139" s="8"/>
      <c r="AI139" s="8"/>
      <c r="AJ139" s="8"/>
    </row>
    <row r="140" spans="1:36" ht="11.25" customHeight="1" x14ac:dyDescent="0.1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9"/>
      <c r="AH140" s="8"/>
      <c r="AI140" s="8"/>
      <c r="AJ140" s="8"/>
    </row>
    <row r="141" spans="1:36" ht="11.25" customHeight="1" x14ac:dyDescent="0.1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9"/>
      <c r="AH141" s="8"/>
      <c r="AI141" s="8"/>
      <c r="AJ141" s="8"/>
    </row>
    <row r="142" spans="1:36" ht="11.25" customHeight="1" x14ac:dyDescent="0.1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9"/>
      <c r="AH142" s="8"/>
      <c r="AI142" s="8"/>
      <c r="AJ142" s="8"/>
    </row>
    <row r="143" spans="1:36" ht="11.25" customHeight="1" x14ac:dyDescent="0.1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9"/>
      <c r="AH143" s="8"/>
      <c r="AI143" s="8"/>
      <c r="AJ143" s="8"/>
    </row>
    <row r="144" spans="1:36" ht="11.25" customHeight="1" x14ac:dyDescent="0.1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9"/>
      <c r="AH144" s="8"/>
      <c r="AI144" s="8"/>
      <c r="AJ144" s="8"/>
    </row>
    <row r="145" spans="1:36" ht="11.25" customHeight="1" x14ac:dyDescent="0.1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9"/>
      <c r="AH145" s="8"/>
      <c r="AI145" s="8"/>
      <c r="AJ145" s="8"/>
    </row>
    <row r="146" spans="1:36" ht="11.25" customHeight="1" x14ac:dyDescent="0.1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9"/>
      <c r="AH146" s="8"/>
      <c r="AI146" s="8"/>
      <c r="AJ146" s="8"/>
    </row>
    <row r="147" spans="1:36" ht="11.25" customHeight="1" x14ac:dyDescent="0.1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9"/>
      <c r="AH147" s="8"/>
      <c r="AI147" s="8"/>
      <c r="AJ147" s="8"/>
    </row>
    <row r="148" spans="1:36" ht="11.25" customHeight="1" x14ac:dyDescent="0.1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9"/>
      <c r="AH148" s="8"/>
      <c r="AI148" s="8"/>
      <c r="AJ148" s="8"/>
    </row>
    <row r="149" spans="1:36" ht="11.25" customHeight="1" x14ac:dyDescent="0.1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9"/>
      <c r="AH149" s="8"/>
      <c r="AI149" s="8"/>
      <c r="AJ149" s="8"/>
    </row>
    <row r="150" spans="1:36" ht="11.25" customHeight="1" x14ac:dyDescent="0.1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9"/>
      <c r="AH150" s="8"/>
      <c r="AI150" s="8"/>
      <c r="AJ150" s="8"/>
    </row>
    <row r="151" spans="1:36" ht="11.25" customHeight="1" x14ac:dyDescent="0.1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9"/>
      <c r="AH151" s="8"/>
      <c r="AI151" s="8"/>
      <c r="AJ151" s="8"/>
    </row>
    <row r="152" spans="1:36" ht="11.25" customHeight="1" x14ac:dyDescent="0.1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9"/>
      <c r="AH152" s="8"/>
      <c r="AI152" s="8"/>
      <c r="AJ152" s="8"/>
    </row>
    <row r="153" spans="1:36" ht="11.25" customHeight="1" x14ac:dyDescent="0.1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9"/>
      <c r="AH153" s="8"/>
      <c r="AI153" s="8"/>
      <c r="AJ153" s="8"/>
    </row>
    <row r="154" spans="1:36" ht="11.25" customHeight="1" x14ac:dyDescent="0.1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9"/>
      <c r="AH154" s="8"/>
      <c r="AI154" s="8"/>
      <c r="AJ154" s="8"/>
    </row>
    <row r="155" spans="1:36" ht="11.25" customHeight="1" x14ac:dyDescent="0.1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9"/>
      <c r="AH155" s="8"/>
      <c r="AI155" s="8"/>
      <c r="AJ155" s="8"/>
    </row>
    <row r="156" spans="1:36" ht="11.25" customHeight="1" x14ac:dyDescent="0.1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9"/>
      <c r="AH156" s="8"/>
      <c r="AI156" s="8"/>
      <c r="AJ156" s="8"/>
    </row>
    <row r="157" spans="1:36" ht="11.25" customHeight="1" x14ac:dyDescent="0.1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9"/>
      <c r="AH157" s="8"/>
      <c r="AI157" s="8"/>
      <c r="AJ157" s="8"/>
    </row>
    <row r="158" spans="1:36" ht="11.25" customHeight="1" x14ac:dyDescent="0.1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9"/>
      <c r="AH158" s="8"/>
      <c r="AI158" s="8"/>
      <c r="AJ158" s="8"/>
    </row>
    <row r="159" spans="1:36" ht="11.25" customHeight="1" x14ac:dyDescent="0.1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9"/>
      <c r="AH159" s="8"/>
      <c r="AI159" s="8"/>
      <c r="AJ159" s="8"/>
    </row>
    <row r="160" spans="1:36" ht="11.25" customHeight="1" x14ac:dyDescent="0.1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9"/>
      <c r="AH160" s="8"/>
      <c r="AI160" s="8"/>
      <c r="AJ160" s="8"/>
    </row>
    <row r="161" spans="1:36" ht="11.25" customHeight="1" x14ac:dyDescent="0.1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9"/>
      <c r="AH161" s="8"/>
      <c r="AI161" s="8"/>
      <c r="AJ161" s="8"/>
    </row>
    <row r="162" spans="1:36" ht="11.25" customHeight="1" x14ac:dyDescent="0.1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9"/>
      <c r="AH162" s="8"/>
      <c r="AI162" s="8"/>
      <c r="AJ162" s="8"/>
    </row>
    <row r="163" spans="1:36" ht="11.25" customHeight="1" x14ac:dyDescent="0.1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9"/>
      <c r="AH163" s="8"/>
      <c r="AI163" s="8"/>
      <c r="AJ163" s="8"/>
    </row>
    <row r="164" spans="1:36" ht="11.25" customHeight="1" x14ac:dyDescent="0.1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9"/>
      <c r="AH164" s="8"/>
      <c r="AI164" s="8"/>
      <c r="AJ164" s="8"/>
    </row>
    <row r="165" spans="1:36" ht="11.25" customHeight="1" x14ac:dyDescent="0.1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9"/>
      <c r="AH165" s="8"/>
      <c r="AI165" s="8"/>
      <c r="AJ165" s="8"/>
    </row>
    <row r="166" spans="1:36" ht="11.25" customHeight="1" x14ac:dyDescent="0.1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9"/>
      <c r="AH166" s="8"/>
      <c r="AI166" s="8"/>
      <c r="AJ166" s="8"/>
    </row>
    <row r="167" spans="1:36" ht="11.25" customHeight="1" x14ac:dyDescent="0.1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9"/>
      <c r="AH167" s="8"/>
      <c r="AI167" s="8"/>
      <c r="AJ167" s="8"/>
    </row>
    <row r="168" spans="1:36" ht="11.25" customHeight="1" x14ac:dyDescent="0.1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9"/>
      <c r="AH168" s="8"/>
      <c r="AI168" s="8"/>
      <c r="AJ168" s="8"/>
    </row>
    <row r="169" spans="1:36" ht="11.25" customHeight="1" x14ac:dyDescent="0.1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9"/>
      <c r="AH169" s="8"/>
      <c r="AI169" s="8"/>
      <c r="AJ169" s="8"/>
    </row>
    <row r="170" spans="1:36" ht="11.25" customHeight="1" x14ac:dyDescent="0.1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9"/>
      <c r="AH170" s="8"/>
      <c r="AI170" s="8"/>
      <c r="AJ170" s="8"/>
    </row>
    <row r="171" spans="1:36" ht="11.25" customHeight="1" x14ac:dyDescent="0.1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9"/>
      <c r="AH171" s="8"/>
      <c r="AI171" s="8"/>
      <c r="AJ171" s="8"/>
    </row>
    <row r="172" spans="1:36" ht="11.25" customHeight="1" x14ac:dyDescent="0.1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9"/>
      <c r="AH172" s="8"/>
      <c r="AI172" s="8"/>
      <c r="AJ172" s="8"/>
    </row>
    <row r="173" spans="1:36" ht="11.25" customHeight="1" x14ac:dyDescent="0.1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9"/>
      <c r="AH173" s="8"/>
      <c r="AI173" s="8"/>
      <c r="AJ173" s="8"/>
    </row>
    <row r="174" spans="1:36" ht="11.25" customHeight="1" x14ac:dyDescent="0.1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9"/>
      <c r="AH174" s="8"/>
      <c r="AI174" s="8"/>
      <c r="AJ174" s="8"/>
    </row>
    <row r="175" spans="1:36" ht="11.25" customHeight="1" x14ac:dyDescent="0.1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9"/>
      <c r="AH175" s="8"/>
      <c r="AI175" s="8"/>
      <c r="AJ175" s="8"/>
    </row>
    <row r="176" spans="1:36" ht="11.25" customHeight="1" x14ac:dyDescent="0.1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9"/>
      <c r="AH176" s="8"/>
      <c r="AI176" s="8"/>
      <c r="AJ176" s="8"/>
    </row>
    <row r="177" spans="1:36" ht="11.25" customHeight="1" x14ac:dyDescent="0.1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9"/>
      <c r="AH177" s="8"/>
      <c r="AI177" s="8"/>
      <c r="AJ177" s="8"/>
    </row>
    <row r="178" spans="1:36" ht="11.25" customHeight="1" x14ac:dyDescent="0.1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9"/>
      <c r="AH178" s="8"/>
      <c r="AI178" s="8"/>
      <c r="AJ178" s="8"/>
    </row>
    <row r="179" spans="1:36" ht="11.25" customHeight="1" x14ac:dyDescent="0.1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9"/>
      <c r="AH179" s="8"/>
      <c r="AI179" s="8"/>
      <c r="AJ179" s="8"/>
    </row>
    <row r="180" spans="1:36" ht="11.25" customHeight="1" x14ac:dyDescent="0.1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9"/>
      <c r="AH180" s="8"/>
      <c r="AI180" s="8"/>
      <c r="AJ180" s="8"/>
    </row>
    <row r="181" spans="1:36" ht="11.25" customHeight="1" x14ac:dyDescent="0.1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9"/>
      <c r="AH181" s="8"/>
      <c r="AI181" s="8"/>
      <c r="AJ181" s="8"/>
    </row>
    <row r="182" spans="1:36" ht="11.25" customHeight="1" x14ac:dyDescent="0.1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9"/>
      <c r="AH182" s="8"/>
      <c r="AI182" s="8"/>
      <c r="AJ182" s="8"/>
    </row>
    <row r="183" spans="1:36" ht="11.25" customHeight="1" x14ac:dyDescent="0.1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9"/>
      <c r="AH183" s="8"/>
      <c r="AI183" s="8"/>
      <c r="AJ183" s="8"/>
    </row>
    <row r="184" spans="1:36" ht="11.25" customHeight="1" x14ac:dyDescent="0.1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9"/>
      <c r="AH184" s="8"/>
      <c r="AI184" s="8"/>
      <c r="AJ184" s="8"/>
    </row>
    <row r="185" spans="1:36" ht="11.25" customHeight="1" x14ac:dyDescent="0.1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9"/>
      <c r="AH185" s="8"/>
      <c r="AI185" s="8"/>
      <c r="AJ185" s="8"/>
    </row>
    <row r="186" spans="1:36" ht="11.25" customHeight="1" x14ac:dyDescent="0.1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9"/>
      <c r="AH186" s="8"/>
      <c r="AI186" s="8"/>
      <c r="AJ186" s="8"/>
    </row>
    <row r="187" spans="1:36" ht="11.25" customHeight="1" x14ac:dyDescent="0.1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"/>
      <c r="AH187" s="8"/>
      <c r="AI187" s="8"/>
      <c r="AJ187" s="8"/>
    </row>
    <row r="188" spans="1:36" ht="11.25" customHeight="1" x14ac:dyDescent="0.1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"/>
      <c r="AH188" s="8"/>
      <c r="AI188" s="8"/>
      <c r="AJ188" s="8"/>
    </row>
    <row r="189" spans="1:36" ht="11.25" customHeight="1" x14ac:dyDescent="0.1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9"/>
      <c r="AH189" s="8"/>
      <c r="AI189" s="8"/>
      <c r="AJ189" s="8"/>
    </row>
    <row r="190" spans="1:36" ht="11.25" customHeight="1" x14ac:dyDescent="0.1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8"/>
      <c r="AI190" s="8"/>
      <c r="AJ190" s="8"/>
    </row>
    <row r="191" spans="1:36" ht="11.25" customHeight="1" x14ac:dyDescent="0.1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8"/>
      <c r="AI191" s="8"/>
      <c r="AJ191" s="8"/>
    </row>
    <row r="192" spans="1:36" ht="11.25" customHeight="1" x14ac:dyDescent="0.1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8"/>
      <c r="AI192" s="8"/>
      <c r="AJ192" s="8"/>
    </row>
    <row r="193" spans="1:36" ht="11.25" customHeight="1" x14ac:dyDescent="0.1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8"/>
      <c r="AI193" s="8"/>
      <c r="AJ193" s="8"/>
    </row>
    <row r="194" spans="1:36" ht="11.25" customHeight="1" x14ac:dyDescent="0.1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8"/>
      <c r="AI194" s="8"/>
      <c r="AJ194" s="8"/>
    </row>
    <row r="195" spans="1:36" ht="11.25" customHeight="1" x14ac:dyDescent="0.1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9"/>
      <c r="AH195" s="8"/>
      <c r="AI195" s="8"/>
      <c r="AJ195" s="8"/>
    </row>
    <row r="196" spans="1:36" ht="11.25" customHeight="1" x14ac:dyDescent="0.1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8"/>
      <c r="AI196" s="8"/>
      <c r="AJ196" s="8"/>
    </row>
    <row r="197" spans="1:36" ht="11.25" customHeight="1" x14ac:dyDescent="0.1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9"/>
      <c r="AH197" s="8"/>
      <c r="AI197" s="8"/>
      <c r="AJ197" s="8"/>
    </row>
    <row r="198" spans="1:36" ht="11.25" customHeight="1" x14ac:dyDescent="0.1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9"/>
      <c r="AH198" s="8"/>
      <c r="AI198" s="8"/>
      <c r="AJ198" s="8"/>
    </row>
    <row r="199" spans="1:36" ht="11.25" customHeight="1" x14ac:dyDescent="0.1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9"/>
      <c r="AH199" s="8"/>
      <c r="AI199" s="8"/>
      <c r="AJ199" s="8"/>
    </row>
    <row r="200" spans="1:36" ht="11.25" customHeight="1" x14ac:dyDescent="0.1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9"/>
      <c r="AH200" s="8"/>
      <c r="AI200" s="8"/>
      <c r="AJ200" s="8"/>
    </row>
    <row r="201" spans="1:36" ht="11.25" customHeight="1" x14ac:dyDescent="0.1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9"/>
      <c r="AH201" s="8"/>
      <c r="AI201" s="8"/>
      <c r="AJ201" s="8"/>
    </row>
    <row r="202" spans="1:36" ht="11.25" customHeight="1" x14ac:dyDescent="0.1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9"/>
      <c r="AH202" s="8"/>
      <c r="AI202" s="8"/>
      <c r="AJ202" s="8"/>
    </row>
    <row r="203" spans="1:36" ht="11.25" customHeight="1" x14ac:dyDescent="0.1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9"/>
      <c r="AH203" s="8"/>
      <c r="AI203" s="8"/>
      <c r="AJ203" s="8"/>
    </row>
    <row r="204" spans="1:36" ht="11.25" customHeight="1" x14ac:dyDescent="0.1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9"/>
      <c r="AH204" s="8"/>
      <c r="AI204" s="8"/>
      <c r="AJ204" s="8"/>
    </row>
    <row r="205" spans="1:36" ht="11.25" customHeight="1" x14ac:dyDescent="0.1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9"/>
      <c r="AH205" s="8"/>
      <c r="AI205" s="8"/>
      <c r="AJ205" s="8"/>
    </row>
    <row r="206" spans="1:36" ht="11.25" customHeight="1" x14ac:dyDescent="0.1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9"/>
      <c r="AH206" s="8"/>
      <c r="AI206" s="8"/>
      <c r="AJ206" s="8"/>
    </row>
    <row r="207" spans="1:36" ht="11.25" customHeight="1" x14ac:dyDescent="0.1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9"/>
      <c r="AH207" s="8"/>
      <c r="AI207" s="8"/>
      <c r="AJ207" s="8"/>
    </row>
    <row r="208" spans="1:36" ht="11.25" customHeight="1" x14ac:dyDescent="0.1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9"/>
      <c r="AH208" s="8"/>
      <c r="AI208" s="8"/>
      <c r="AJ208" s="8"/>
    </row>
    <row r="209" spans="1:36" ht="11.25" customHeight="1" x14ac:dyDescent="0.1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9"/>
      <c r="AH209" s="8"/>
      <c r="AI209" s="8"/>
      <c r="AJ209" s="8"/>
    </row>
    <row r="210" spans="1:36" ht="11.25" customHeight="1" x14ac:dyDescent="0.1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9"/>
      <c r="AH210" s="8"/>
      <c r="AI210" s="8"/>
      <c r="AJ210" s="8"/>
    </row>
    <row r="211" spans="1:36" ht="11.25" customHeight="1" x14ac:dyDescent="0.1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9"/>
      <c r="AH211" s="8"/>
      <c r="AI211" s="8"/>
      <c r="AJ211" s="8"/>
    </row>
    <row r="212" spans="1:36" ht="11.25" customHeight="1" x14ac:dyDescent="0.1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9"/>
      <c r="AH212" s="8"/>
      <c r="AI212" s="8"/>
      <c r="AJ212" s="8"/>
    </row>
    <row r="213" spans="1:36" ht="11.25" customHeight="1" x14ac:dyDescent="0.1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9"/>
      <c r="AH213" s="8"/>
      <c r="AI213" s="8"/>
      <c r="AJ213" s="8"/>
    </row>
    <row r="214" spans="1:36" ht="11.25" customHeight="1" x14ac:dyDescent="0.1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9"/>
      <c r="AH214" s="8"/>
      <c r="AI214" s="8"/>
      <c r="AJ214" s="8"/>
    </row>
    <row r="215" spans="1:36" ht="11.25" customHeight="1" x14ac:dyDescent="0.1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9"/>
      <c r="AH215" s="8"/>
      <c r="AI215" s="8"/>
      <c r="AJ215" s="8"/>
    </row>
    <row r="216" spans="1:36" ht="11.25" customHeight="1" x14ac:dyDescent="0.1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9"/>
      <c r="AH216" s="8"/>
      <c r="AI216" s="8"/>
      <c r="AJ216" s="8"/>
    </row>
    <row r="217" spans="1:36" ht="11.25" customHeight="1" x14ac:dyDescent="0.1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9"/>
      <c r="AH217" s="8"/>
      <c r="AI217" s="8"/>
      <c r="AJ217" s="8"/>
    </row>
    <row r="218" spans="1:36" ht="11.25" customHeight="1" x14ac:dyDescent="0.1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9"/>
      <c r="AH218" s="8"/>
      <c r="AI218" s="8"/>
      <c r="AJ218" s="8"/>
    </row>
    <row r="219" spans="1:36" ht="11.25" customHeight="1" x14ac:dyDescent="0.1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9"/>
      <c r="AH219" s="8"/>
      <c r="AI219" s="8"/>
      <c r="AJ219" s="8"/>
    </row>
    <row r="220" spans="1:36" ht="11.25" customHeight="1" x14ac:dyDescent="0.1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9"/>
      <c r="AH220" s="8"/>
      <c r="AI220" s="8"/>
      <c r="AJ220" s="8"/>
    </row>
    <row r="221" spans="1:36" ht="11.25" customHeight="1" x14ac:dyDescent="0.1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9"/>
      <c r="AH221" s="8"/>
      <c r="AI221" s="8"/>
      <c r="AJ221" s="8"/>
    </row>
    <row r="222" spans="1:36" ht="11.25" customHeight="1" x14ac:dyDescent="0.1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9"/>
      <c r="AH222" s="8"/>
      <c r="AI222" s="8"/>
      <c r="AJ222" s="8"/>
    </row>
    <row r="223" spans="1:36" ht="11.25" customHeight="1" x14ac:dyDescent="0.1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9"/>
      <c r="AH223" s="8"/>
      <c r="AI223" s="8"/>
      <c r="AJ223" s="8"/>
    </row>
    <row r="224" spans="1:36" ht="11.25" customHeight="1" x14ac:dyDescent="0.1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9"/>
      <c r="AH224" s="8"/>
      <c r="AI224" s="8"/>
      <c r="AJ224" s="8"/>
    </row>
    <row r="225" spans="1:36" ht="11.25" customHeight="1" x14ac:dyDescent="0.1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9"/>
      <c r="AH225" s="8"/>
      <c r="AI225" s="8"/>
      <c r="AJ225" s="8"/>
    </row>
    <row r="226" spans="1:36" ht="11.25" customHeight="1" x14ac:dyDescent="0.1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9"/>
      <c r="AH226" s="8"/>
      <c r="AI226" s="8"/>
      <c r="AJ226" s="8"/>
    </row>
    <row r="227" spans="1:36" ht="11.25" customHeight="1" x14ac:dyDescent="0.1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9"/>
      <c r="AH227" s="8"/>
      <c r="AI227" s="8"/>
      <c r="AJ227" s="8"/>
    </row>
    <row r="228" spans="1:36" ht="11.25" customHeight="1" x14ac:dyDescent="0.1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9"/>
      <c r="AH228" s="8"/>
      <c r="AI228" s="8"/>
      <c r="AJ228" s="8"/>
    </row>
    <row r="229" spans="1:36" ht="11.25" customHeight="1" x14ac:dyDescent="0.1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9"/>
      <c r="AH229" s="8"/>
      <c r="AI229" s="8"/>
      <c r="AJ229" s="8"/>
    </row>
    <row r="230" spans="1:36" ht="11.25" customHeight="1" x14ac:dyDescent="0.1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9"/>
      <c r="AH230" s="8"/>
      <c r="AI230" s="8"/>
      <c r="AJ230" s="8"/>
    </row>
    <row r="231" spans="1:36" ht="11.25" customHeight="1" x14ac:dyDescent="0.1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9"/>
      <c r="AH231" s="8"/>
      <c r="AI231" s="8"/>
      <c r="AJ231" s="8"/>
    </row>
    <row r="232" spans="1:36" ht="11.25" customHeight="1" x14ac:dyDescent="0.1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9"/>
      <c r="AH232" s="8"/>
      <c r="AI232" s="8"/>
      <c r="AJ232" s="8"/>
    </row>
    <row r="233" spans="1:36" ht="11.25" customHeight="1" x14ac:dyDescent="0.1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9"/>
      <c r="AH233" s="8"/>
      <c r="AI233" s="8"/>
      <c r="AJ233" s="8"/>
    </row>
    <row r="234" spans="1:36" ht="11.25" customHeight="1" x14ac:dyDescent="0.1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9"/>
      <c r="AH234" s="8"/>
      <c r="AI234" s="8"/>
      <c r="AJ234" s="8"/>
    </row>
    <row r="235" spans="1:36" ht="11.25" customHeight="1" x14ac:dyDescent="0.1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9"/>
      <c r="AH235" s="8"/>
      <c r="AI235" s="8"/>
      <c r="AJ235" s="8"/>
    </row>
    <row r="236" spans="1:36" ht="11.25" customHeight="1" x14ac:dyDescent="0.1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9"/>
      <c r="AH236" s="8"/>
      <c r="AI236" s="8"/>
      <c r="AJ236" s="8"/>
    </row>
    <row r="237" spans="1:36" ht="11.25" customHeight="1" x14ac:dyDescent="0.1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9"/>
      <c r="AH237" s="8"/>
      <c r="AI237" s="8"/>
      <c r="AJ237" s="8"/>
    </row>
    <row r="238" spans="1:36" ht="11.25" customHeight="1" x14ac:dyDescent="0.1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9"/>
      <c r="AH238" s="8"/>
      <c r="AI238" s="8"/>
      <c r="AJ238" s="8"/>
    </row>
    <row r="239" spans="1:36" ht="11.25" customHeight="1" x14ac:dyDescent="0.1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9"/>
      <c r="AH239" s="8"/>
      <c r="AI239" s="8"/>
      <c r="AJ239" s="8"/>
    </row>
    <row r="240" spans="1:36" ht="11.25" customHeight="1" x14ac:dyDescent="0.1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"/>
      <c r="AH240" s="8"/>
      <c r="AI240" s="8"/>
      <c r="AJ240" s="8"/>
    </row>
    <row r="241" spans="1:36" ht="11.25" customHeight="1" x14ac:dyDescent="0.1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"/>
      <c r="AH241" s="8"/>
      <c r="AI241" s="8"/>
      <c r="AJ241" s="8"/>
    </row>
    <row r="242" spans="1:36" ht="11.25" customHeight="1" x14ac:dyDescent="0.1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9"/>
      <c r="AH242" s="8"/>
      <c r="AI242" s="8"/>
      <c r="AJ242" s="8"/>
    </row>
    <row r="243" spans="1:36" ht="11.25" customHeight="1" x14ac:dyDescent="0.1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9"/>
      <c r="AH243" s="8"/>
      <c r="AI243" s="8"/>
      <c r="AJ243" s="8"/>
    </row>
    <row r="244" spans="1:36" ht="11.25" customHeight="1" x14ac:dyDescent="0.1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9"/>
      <c r="AH244" s="8"/>
      <c r="AI244" s="8"/>
      <c r="AJ244" s="8"/>
    </row>
    <row r="245" spans="1:36" ht="11.25" customHeight="1" x14ac:dyDescent="0.1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9"/>
      <c r="AH245" s="8"/>
      <c r="AI245" s="8"/>
      <c r="AJ245" s="8"/>
    </row>
    <row r="246" spans="1:36" ht="11.25" customHeight="1" x14ac:dyDescent="0.1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9"/>
      <c r="AH246" s="8"/>
      <c r="AI246" s="8"/>
      <c r="AJ246" s="8"/>
    </row>
    <row r="247" spans="1:36" ht="11.25" customHeight="1" x14ac:dyDescent="0.1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9"/>
      <c r="AH247" s="8"/>
      <c r="AI247" s="8"/>
      <c r="AJ247" s="8"/>
    </row>
    <row r="248" spans="1:36" ht="11.25" customHeight="1" x14ac:dyDescent="0.1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9"/>
      <c r="AH248" s="8"/>
      <c r="AI248" s="8"/>
      <c r="AJ248" s="8"/>
    </row>
    <row r="249" spans="1:36" ht="11.25" customHeight="1" x14ac:dyDescent="0.1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9"/>
      <c r="AH249" s="8"/>
      <c r="AI249" s="8"/>
      <c r="AJ249" s="8"/>
    </row>
    <row r="250" spans="1:36" ht="11.25" customHeight="1" x14ac:dyDescent="0.1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9"/>
      <c r="AH250" s="8"/>
      <c r="AI250" s="8"/>
      <c r="AJ250" s="8"/>
    </row>
    <row r="251" spans="1:36" ht="11.25" customHeight="1" x14ac:dyDescent="0.1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9"/>
      <c r="AH251" s="8"/>
      <c r="AI251" s="8"/>
      <c r="AJ251" s="8"/>
    </row>
    <row r="252" spans="1:36" ht="11.25" customHeight="1" x14ac:dyDescent="0.1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9"/>
      <c r="AH252" s="8"/>
      <c r="AI252" s="8"/>
      <c r="AJ252" s="8"/>
    </row>
    <row r="253" spans="1:36" ht="11.25" customHeight="1" x14ac:dyDescent="0.1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9"/>
      <c r="AH253" s="8"/>
      <c r="AI253" s="8"/>
      <c r="AJ253" s="8"/>
    </row>
    <row r="254" spans="1:36" ht="11.25" customHeight="1" x14ac:dyDescent="0.1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9"/>
      <c r="AH254" s="8"/>
      <c r="AI254" s="8"/>
      <c r="AJ254" s="8"/>
    </row>
    <row r="255" spans="1:36" ht="11.25" customHeight="1" x14ac:dyDescent="0.1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9"/>
      <c r="AH255" s="8"/>
      <c r="AI255" s="8"/>
      <c r="AJ255" s="8"/>
    </row>
    <row r="256" spans="1:36" ht="11.25" customHeight="1" x14ac:dyDescent="0.1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9"/>
      <c r="AH256" s="8"/>
      <c r="AI256" s="8"/>
      <c r="AJ256" s="8"/>
    </row>
    <row r="257" spans="1:36" ht="11.25" customHeight="1" x14ac:dyDescent="0.1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9"/>
      <c r="AH257" s="8"/>
      <c r="AI257" s="8"/>
      <c r="AJ257" s="8"/>
    </row>
    <row r="258" spans="1:36" ht="11.25" customHeight="1" x14ac:dyDescent="0.1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9"/>
      <c r="AH258" s="8"/>
      <c r="AI258" s="8"/>
      <c r="AJ258" s="8"/>
    </row>
    <row r="259" spans="1:36" ht="11.25" customHeight="1" x14ac:dyDescent="0.1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9"/>
      <c r="AH259" s="8"/>
      <c r="AI259" s="8"/>
      <c r="AJ259" s="8"/>
    </row>
    <row r="260" spans="1:36" ht="11.25" customHeight="1" x14ac:dyDescent="0.1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9"/>
      <c r="AH260" s="8"/>
      <c r="AI260" s="8"/>
      <c r="AJ260" s="8"/>
    </row>
    <row r="261" spans="1:36" ht="11.25" customHeight="1" x14ac:dyDescent="0.1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9"/>
      <c r="AH261" s="8"/>
      <c r="AI261" s="8"/>
      <c r="AJ261" s="8"/>
    </row>
    <row r="262" spans="1:36" ht="11.25" customHeight="1" x14ac:dyDescent="0.1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9"/>
      <c r="AH262" s="8"/>
      <c r="AI262" s="8"/>
      <c r="AJ262" s="8"/>
    </row>
    <row r="263" spans="1:36" ht="11.25" customHeight="1" x14ac:dyDescent="0.1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9"/>
      <c r="AH263" s="8"/>
      <c r="AI263" s="8"/>
      <c r="AJ263" s="8"/>
    </row>
    <row r="264" spans="1:36" ht="11.25" customHeight="1" x14ac:dyDescent="0.1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9"/>
      <c r="AH264" s="8"/>
      <c r="AI264" s="8"/>
      <c r="AJ264" s="8"/>
    </row>
    <row r="265" spans="1:36" ht="11.25" customHeight="1" x14ac:dyDescent="0.1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9"/>
      <c r="AH265" s="8"/>
      <c r="AI265" s="8"/>
      <c r="AJ265" s="8"/>
    </row>
    <row r="266" spans="1:36" ht="11.25" customHeight="1" x14ac:dyDescent="0.1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9"/>
      <c r="AH266" s="8"/>
      <c r="AI266" s="8"/>
      <c r="AJ266" s="8"/>
    </row>
    <row r="267" spans="1:36" ht="11.25" customHeight="1" x14ac:dyDescent="0.1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9"/>
      <c r="AH267" s="8"/>
      <c r="AI267" s="8"/>
      <c r="AJ267" s="8"/>
    </row>
    <row r="268" spans="1:36" ht="11.25" customHeight="1" x14ac:dyDescent="0.1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9"/>
      <c r="AH268" s="8"/>
      <c r="AI268" s="8"/>
      <c r="AJ268" s="8"/>
    </row>
    <row r="269" spans="1:36" ht="11.25" customHeight="1" x14ac:dyDescent="0.1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9"/>
      <c r="AH269" s="8"/>
      <c r="AI269" s="8"/>
      <c r="AJ269" s="8"/>
    </row>
    <row r="270" spans="1:36" ht="11.25" customHeight="1" x14ac:dyDescent="0.1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9"/>
      <c r="AH270" s="8"/>
      <c r="AI270" s="8"/>
      <c r="AJ270" s="8"/>
    </row>
    <row r="271" spans="1:36" ht="11.25" customHeight="1" x14ac:dyDescent="0.1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9"/>
      <c r="AH271" s="8"/>
      <c r="AI271" s="8"/>
      <c r="AJ271" s="8"/>
    </row>
    <row r="272" spans="1:36" ht="11.25" customHeight="1" x14ac:dyDescent="0.1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9"/>
      <c r="AH272" s="8"/>
      <c r="AI272" s="8"/>
      <c r="AJ272" s="8"/>
    </row>
    <row r="273" spans="1:36" ht="11.25" customHeight="1" x14ac:dyDescent="0.1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9"/>
      <c r="AH273" s="8"/>
      <c r="AI273" s="8"/>
      <c r="AJ273" s="8"/>
    </row>
    <row r="274" spans="1:36" ht="11.25" customHeight="1" x14ac:dyDescent="0.1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9"/>
      <c r="AH274" s="8"/>
      <c r="AI274" s="8"/>
      <c r="AJ274" s="8"/>
    </row>
    <row r="275" spans="1:36" ht="11.25" customHeight="1" x14ac:dyDescent="0.1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9"/>
      <c r="AH275" s="8"/>
      <c r="AI275" s="8"/>
      <c r="AJ275" s="8"/>
    </row>
    <row r="276" spans="1:36" ht="11.25" customHeight="1" x14ac:dyDescent="0.1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9"/>
      <c r="AH276" s="8"/>
      <c r="AI276" s="8"/>
      <c r="AJ276" s="8"/>
    </row>
    <row r="277" spans="1:36" ht="11.25" customHeight="1" x14ac:dyDescent="0.1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9"/>
      <c r="AH277" s="8"/>
      <c r="AI277" s="8"/>
      <c r="AJ277" s="8"/>
    </row>
    <row r="278" spans="1:36" ht="11.25" customHeight="1" x14ac:dyDescent="0.1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9"/>
      <c r="AH278" s="8"/>
      <c r="AI278" s="8"/>
      <c r="AJ278" s="8"/>
    </row>
    <row r="279" spans="1:36" ht="11.25" customHeight="1" x14ac:dyDescent="0.1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9"/>
      <c r="AH279" s="8"/>
      <c r="AI279" s="8"/>
      <c r="AJ279" s="8"/>
    </row>
    <row r="280" spans="1:36" ht="11.25" customHeight="1" x14ac:dyDescent="0.1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9"/>
      <c r="AH280" s="8"/>
      <c r="AI280" s="8"/>
      <c r="AJ280" s="8"/>
    </row>
    <row r="281" spans="1:36" ht="11.25" customHeight="1" x14ac:dyDescent="0.1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9"/>
      <c r="AH281" s="8"/>
      <c r="AI281" s="8"/>
      <c r="AJ281" s="8"/>
    </row>
    <row r="282" spans="1:36" ht="11.25" customHeight="1" x14ac:dyDescent="0.1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9"/>
      <c r="AH282" s="8"/>
      <c r="AI282" s="8"/>
      <c r="AJ282" s="8"/>
    </row>
    <row r="283" spans="1:36" ht="11.25" customHeight="1" x14ac:dyDescent="0.1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9"/>
      <c r="AH283" s="8"/>
      <c r="AI283" s="8"/>
      <c r="AJ283" s="8"/>
    </row>
    <row r="284" spans="1:36" ht="11.25" customHeight="1" x14ac:dyDescent="0.1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9"/>
      <c r="AH284" s="8"/>
      <c r="AI284" s="8"/>
      <c r="AJ284" s="8"/>
    </row>
    <row r="285" spans="1:36" ht="11.25" customHeight="1" x14ac:dyDescent="0.1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9"/>
      <c r="AH285" s="8"/>
      <c r="AI285" s="8"/>
      <c r="AJ285" s="8"/>
    </row>
    <row r="286" spans="1:36" ht="11.25" customHeight="1" x14ac:dyDescent="0.1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9"/>
      <c r="AH286" s="8"/>
      <c r="AI286" s="8"/>
      <c r="AJ286" s="8"/>
    </row>
    <row r="287" spans="1:36" ht="11.25" customHeight="1" x14ac:dyDescent="0.1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9"/>
      <c r="AH287" s="8"/>
      <c r="AI287" s="8"/>
      <c r="AJ287" s="8"/>
    </row>
    <row r="288" spans="1:36" ht="11.25" customHeight="1" x14ac:dyDescent="0.1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9"/>
      <c r="AH288" s="8"/>
      <c r="AI288" s="8"/>
      <c r="AJ288" s="8"/>
    </row>
    <row r="289" spans="1:36" ht="11.25" customHeight="1" x14ac:dyDescent="0.1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9"/>
      <c r="AH289" s="8"/>
      <c r="AI289" s="8"/>
      <c r="AJ289" s="8"/>
    </row>
    <row r="290" spans="1:36" ht="11.25" customHeight="1" x14ac:dyDescent="0.1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9"/>
      <c r="AH290" s="8"/>
      <c r="AI290" s="8"/>
      <c r="AJ290" s="8"/>
    </row>
    <row r="291" spans="1:36" ht="11.25" customHeight="1" x14ac:dyDescent="0.1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9"/>
      <c r="AH291" s="8"/>
      <c r="AI291" s="8"/>
      <c r="AJ291" s="8"/>
    </row>
    <row r="292" spans="1:36" ht="11.25" customHeight="1" x14ac:dyDescent="0.1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9"/>
      <c r="AH292" s="8"/>
      <c r="AI292" s="8"/>
      <c r="AJ292" s="8"/>
    </row>
    <row r="293" spans="1:36" ht="11.25" customHeight="1" x14ac:dyDescent="0.1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9"/>
      <c r="AH293" s="8"/>
      <c r="AI293" s="8"/>
      <c r="AJ293" s="8"/>
    </row>
    <row r="294" spans="1:36" ht="11.25" customHeight="1" x14ac:dyDescent="0.1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9"/>
      <c r="AH294" s="8"/>
      <c r="AI294" s="8"/>
      <c r="AJ294" s="8"/>
    </row>
    <row r="295" spans="1:36" ht="11.25" customHeight="1" x14ac:dyDescent="0.1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9"/>
      <c r="AH295" s="8"/>
      <c r="AI295" s="8"/>
      <c r="AJ295" s="8"/>
    </row>
    <row r="296" spans="1:36" ht="11.25" customHeight="1" x14ac:dyDescent="0.1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9"/>
      <c r="AH296" s="8"/>
      <c r="AI296" s="8"/>
      <c r="AJ296" s="8"/>
    </row>
    <row r="297" spans="1:36" ht="11.25" customHeight="1" x14ac:dyDescent="0.1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9"/>
      <c r="AH297" s="8"/>
      <c r="AI297" s="8"/>
      <c r="AJ297" s="8"/>
    </row>
    <row r="298" spans="1:36" ht="11.25" customHeight="1" x14ac:dyDescent="0.1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9"/>
      <c r="AH298" s="8"/>
      <c r="AI298" s="8"/>
      <c r="AJ298" s="8"/>
    </row>
    <row r="299" spans="1:36" ht="11.25" customHeight="1" x14ac:dyDescent="0.1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9"/>
      <c r="AH299" s="8"/>
      <c r="AI299" s="8"/>
      <c r="AJ299" s="8"/>
    </row>
    <row r="300" spans="1:36" ht="11.25" customHeight="1" x14ac:dyDescent="0.1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9"/>
      <c r="AH300" s="8"/>
      <c r="AI300" s="8"/>
      <c r="AJ300" s="8"/>
    </row>
    <row r="301" spans="1:36" ht="11.25" customHeight="1" x14ac:dyDescent="0.1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9"/>
      <c r="AH301" s="8"/>
      <c r="AI301" s="8"/>
      <c r="AJ301" s="8"/>
    </row>
    <row r="302" spans="1:36" ht="11.25" customHeight="1" x14ac:dyDescent="0.1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9"/>
      <c r="AH302" s="8"/>
      <c r="AI302" s="8"/>
      <c r="AJ302" s="8"/>
    </row>
    <row r="303" spans="1:36" ht="11.25" customHeight="1" x14ac:dyDescent="0.1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9"/>
      <c r="AH303" s="8"/>
      <c r="AI303" s="8"/>
      <c r="AJ303" s="8"/>
    </row>
    <row r="304" spans="1:36" ht="11.25" customHeight="1" x14ac:dyDescent="0.1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9"/>
      <c r="AH304" s="8"/>
      <c r="AI304" s="8"/>
      <c r="AJ304" s="8"/>
    </row>
    <row r="305" spans="1:36" ht="11.25" customHeight="1" x14ac:dyDescent="0.1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9"/>
      <c r="AH305" s="8"/>
      <c r="AI305" s="8"/>
      <c r="AJ305" s="8"/>
    </row>
    <row r="306" spans="1:36" ht="11.25" customHeight="1" x14ac:dyDescent="0.1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9"/>
      <c r="AH306" s="8"/>
      <c r="AI306" s="8"/>
      <c r="AJ306" s="8"/>
    </row>
    <row r="307" spans="1:36" ht="11.25" customHeight="1" x14ac:dyDescent="0.1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9"/>
      <c r="AH307" s="8"/>
      <c r="AI307" s="8"/>
      <c r="AJ307" s="8"/>
    </row>
    <row r="308" spans="1:36" ht="11.25" customHeight="1" x14ac:dyDescent="0.1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9"/>
      <c r="AH308" s="8"/>
      <c r="AI308" s="8"/>
      <c r="AJ308" s="8"/>
    </row>
    <row r="309" spans="1:36" ht="11.25" customHeight="1" x14ac:dyDescent="0.1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9"/>
      <c r="AH309" s="8"/>
      <c r="AI309" s="8"/>
      <c r="AJ309" s="8"/>
    </row>
    <row r="310" spans="1:36" ht="11.25" customHeight="1" x14ac:dyDescent="0.1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9"/>
      <c r="AH310" s="8"/>
      <c r="AI310" s="8"/>
      <c r="AJ310" s="8"/>
    </row>
    <row r="311" spans="1:36" ht="11.25" customHeight="1" x14ac:dyDescent="0.1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9"/>
      <c r="AH311" s="8"/>
      <c r="AI311" s="8"/>
      <c r="AJ311" s="8"/>
    </row>
    <row r="312" spans="1:36" ht="11.25" customHeight="1" x14ac:dyDescent="0.1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9"/>
      <c r="AH312" s="8"/>
      <c r="AI312" s="8"/>
      <c r="AJ312" s="8"/>
    </row>
    <row r="313" spans="1:36" ht="11.25" customHeight="1" x14ac:dyDescent="0.1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9"/>
      <c r="AH313" s="8"/>
      <c r="AI313" s="8"/>
      <c r="AJ313" s="8"/>
    </row>
    <row r="314" spans="1:36" ht="11.25" customHeight="1" x14ac:dyDescent="0.1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9"/>
      <c r="AH314" s="8"/>
      <c r="AI314" s="8"/>
      <c r="AJ314" s="8"/>
    </row>
    <row r="315" spans="1:36" ht="11.25" customHeight="1" x14ac:dyDescent="0.1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9"/>
      <c r="AH315" s="8"/>
      <c r="AI315" s="8"/>
      <c r="AJ315" s="8"/>
    </row>
    <row r="316" spans="1:36" ht="11.25" customHeight="1" x14ac:dyDescent="0.1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9"/>
      <c r="AH316" s="8"/>
      <c r="AI316" s="8"/>
      <c r="AJ316" s="8"/>
    </row>
    <row r="317" spans="1:36" ht="11.25" customHeight="1" x14ac:dyDescent="0.1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9"/>
      <c r="AH317" s="8"/>
      <c r="AI317" s="8"/>
      <c r="AJ317" s="8"/>
    </row>
    <row r="318" spans="1:36" ht="11.25" customHeight="1" x14ac:dyDescent="0.1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9"/>
      <c r="AH318" s="8"/>
      <c r="AI318" s="8"/>
      <c r="AJ318" s="8"/>
    </row>
    <row r="319" spans="1:36" ht="11.25" customHeight="1" x14ac:dyDescent="0.1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9"/>
      <c r="AH319" s="8"/>
      <c r="AI319" s="8"/>
      <c r="AJ319" s="8"/>
    </row>
    <row r="320" spans="1:36" ht="11.25" customHeight="1" x14ac:dyDescent="0.1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9"/>
      <c r="AH320" s="8"/>
      <c r="AI320" s="8"/>
      <c r="AJ320" s="8"/>
    </row>
    <row r="321" spans="1:36" ht="11.25" customHeight="1" x14ac:dyDescent="0.1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9"/>
      <c r="AH321" s="8"/>
      <c r="AI321" s="8"/>
      <c r="AJ321" s="8"/>
    </row>
    <row r="322" spans="1:36" ht="11.25" customHeight="1" x14ac:dyDescent="0.1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9"/>
      <c r="AH322" s="8"/>
      <c r="AI322" s="8"/>
      <c r="AJ322" s="8"/>
    </row>
    <row r="323" spans="1:36" ht="11.25" customHeight="1" x14ac:dyDescent="0.1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9"/>
      <c r="AH323" s="8"/>
      <c r="AI323" s="8"/>
      <c r="AJ323" s="8"/>
    </row>
    <row r="324" spans="1:36" ht="11.25" customHeight="1" x14ac:dyDescent="0.1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9"/>
      <c r="AH324" s="8"/>
      <c r="AI324" s="8"/>
      <c r="AJ324" s="8"/>
    </row>
    <row r="325" spans="1:36" ht="11.25" customHeight="1" x14ac:dyDescent="0.1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9"/>
      <c r="AH325" s="8"/>
      <c r="AI325" s="8"/>
      <c r="AJ325" s="8"/>
    </row>
    <row r="326" spans="1:36" ht="11.25" customHeight="1" x14ac:dyDescent="0.1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9"/>
      <c r="AH326" s="8"/>
      <c r="AI326" s="8"/>
      <c r="AJ326" s="8"/>
    </row>
    <row r="327" spans="1:36" ht="11.25" customHeight="1" x14ac:dyDescent="0.1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9"/>
      <c r="AH327" s="8"/>
      <c r="AI327" s="8"/>
      <c r="AJ327" s="8"/>
    </row>
    <row r="328" spans="1:36" ht="11.25" customHeight="1" x14ac:dyDescent="0.1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9"/>
      <c r="AH328" s="8"/>
      <c r="AI328" s="8"/>
      <c r="AJ328" s="8"/>
    </row>
    <row r="329" spans="1:36" ht="11.25" customHeight="1" x14ac:dyDescent="0.1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9"/>
      <c r="AH329" s="8"/>
      <c r="AI329" s="8"/>
      <c r="AJ329" s="8"/>
    </row>
    <row r="330" spans="1:36" ht="11.25" customHeight="1" x14ac:dyDescent="0.1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9"/>
      <c r="AH330" s="8"/>
      <c r="AI330" s="8"/>
      <c r="AJ330" s="8"/>
    </row>
    <row r="331" spans="1:36" ht="11.25" customHeight="1" x14ac:dyDescent="0.1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9"/>
      <c r="AH331" s="8"/>
      <c r="AI331" s="8"/>
      <c r="AJ331" s="8"/>
    </row>
    <row r="332" spans="1:36" ht="11.25" customHeight="1" x14ac:dyDescent="0.1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9"/>
      <c r="AH332" s="8"/>
      <c r="AI332" s="8"/>
      <c r="AJ332" s="8"/>
    </row>
    <row r="333" spans="1:36" ht="11.25" customHeight="1" x14ac:dyDescent="0.1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9"/>
      <c r="AH333" s="8"/>
      <c r="AI333" s="8"/>
      <c r="AJ333" s="8"/>
    </row>
    <row r="334" spans="1:36" ht="11.25" customHeight="1" x14ac:dyDescent="0.1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9"/>
      <c r="AH334" s="8"/>
      <c r="AI334" s="8"/>
      <c r="AJ334" s="8"/>
    </row>
    <row r="335" spans="1:36" ht="11.25" customHeight="1" x14ac:dyDescent="0.1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9"/>
      <c r="AH335" s="8"/>
      <c r="AI335" s="8"/>
      <c r="AJ335" s="8"/>
    </row>
    <row r="336" spans="1:36" ht="11.25" customHeight="1" x14ac:dyDescent="0.1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9"/>
      <c r="AH336" s="8"/>
      <c r="AI336" s="8"/>
      <c r="AJ336" s="8"/>
    </row>
    <row r="337" spans="1:36" ht="11.25" customHeight="1" x14ac:dyDescent="0.1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9"/>
      <c r="AH337" s="8"/>
      <c r="AI337" s="8"/>
      <c r="AJ337" s="8"/>
    </row>
    <row r="338" spans="1:36" ht="11.25" customHeight="1" x14ac:dyDescent="0.1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9"/>
      <c r="AH338" s="8"/>
      <c r="AI338" s="8"/>
      <c r="AJ338" s="8"/>
    </row>
    <row r="339" spans="1:36" ht="11.25" customHeight="1" x14ac:dyDescent="0.1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9"/>
      <c r="AH339" s="8"/>
      <c r="AI339" s="8"/>
      <c r="AJ339" s="8"/>
    </row>
    <row r="340" spans="1:36" ht="11.25" customHeight="1" x14ac:dyDescent="0.1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9"/>
      <c r="AH340" s="8"/>
      <c r="AI340" s="8"/>
      <c r="AJ340" s="8"/>
    </row>
    <row r="341" spans="1:36" ht="11.25" customHeight="1" x14ac:dyDescent="0.1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9"/>
      <c r="AH341" s="8"/>
      <c r="AI341" s="8"/>
      <c r="AJ341" s="8"/>
    </row>
    <row r="342" spans="1:36" ht="11.25" customHeight="1" x14ac:dyDescent="0.1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9"/>
      <c r="AH342" s="8"/>
      <c r="AI342" s="8"/>
      <c r="AJ342" s="8"/>
    </row>
    <row r="343" spans="1:36" ht="11.25" customHeight="1" x14ac:dyDescent="0.1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9"/>
      <c r="AH343" s="8"/>
      <c r="AI343" s="8"/>
      <c r="AJ343" s="8"/>
    </row>
    <row r="344" spans="1:36" ht="11.25" customHeight="1" x14ac:dyDescent="0.1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9"/>
      <c r="AH344" s="8"/>
      <c r="AI344" s="8"/>
      <c r="AJ344" s="8"/>
    </row>
    <row r="345" spans="1:36" ht="11.25" customHeight="1" x14ac:dyDescent="0.1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9"/>
      <c r="AH345" s="8"/>
      <c r="AI345" s="8"/>
      <c r="AJ345" s="8"/>
    </row>
    <row r="346" spans="1:36" ht="11.25" customHeight="1" x14ac:dyDescent="0.1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9"/>
      <c r="AH346" s="8"/>
      <c r="AI346" s="8"/>
      <c r="AJ346" s="8"/>
    </row>
    <row r="347" spans="1:36" ht="11.25" customHeight="1" x14ac:dyDescent="0.1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9"/>
      <c r="AH347" s="8"/>
      <c r="AI347" s="8"/>
      <c r="AJ347" s="8"/>
    </row>
    <row r="348" spans="1:36" ht="11.25" customHeight="1" x14ac:dyDescent="0.1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9"/>
      <c r="AH348" s="8"/>
      <c r="AI348" s="8"/>
      <c r="AJ348" s="8"/>
    </row>
    <row r="349" spans="1:36" ht="11.25" customHeight="1" x14ac:dyDescent="0.1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9"/>
      <c r="AH349" s="8"/>
      <c r="AI349" s="8"/>
      <c r="AJ349" s="8"/>
    </row>
    <row r="350" spans="1:36" ht="11.25" customHeight="1" x14ac:dyDescent="0.1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9"/>
      <c r="AH350" s="8"/>
      <c r="AI350" s="8"/>
      <c r="AJ350" s="8"/>
    </row>
    <row r="351" spans="1:36" ht="11.25" customHeight="1" x14ac:dyDescent="0.1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9"/>
      <c r="AH351" s="8"/>
      <c r="AI351" s="8"/>
      <c r="AJ351" s="8"/>
    </row>
    <row r="352" spans="1:36" ht="11.25" customHeight="1" x14ac:dyDescent="0.1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9"/>
      <c r="AH352" s="8"/>
      <c r="AI352" s="8"/>
      <c r="AJ352" s="8"/>
    </row>
    <row r="353" spans="1:36" ht="11.25" customHeight="1" x14ac:dyDescent="0.1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9"/>
      <c r="AH353" s="8"/>
      <c r="AI353" s="8"/>
      <c r="AJ353" s="8"/>
    </row>
    <row r="354" spans="1:36" ht="11.25" customHeight="1" x14ac:dyDescent="0.1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9"/>
      <c r="AH354" s="8"/>
      <c r="AI354" s="8"/>
      <c r="AJ354" s="8"/>
    </row>
    <row r="355" spans="1:36" ht="11.25" customHeight="1" x14ac:dyDescent="0.1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9"/>
      <c r="AH355" s="8"/>
      <c r="AI355" s="8"/>
      <c r="AJ355" s="8"/>
    </row>
    <row r="356" spans="1:36" ht="11.25" customHeight="1" x14ac:dyDescent="0.1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9"/>
      <c r="AH356" s="8"/>
      <c r="AI356" s="8"/>
      <c r="AJ356" s="8"/>
    </row>
    <row r="357" spans="1:36" ht="11.25" customHeight="1" x14ac:dyDescent="0.1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9"/>
      <c r="AH357" s="8"/>
      <c r="AI357" s="8"/>
      <c r="AJ357" s="8"/>
    </row>
    <row r="358" spans="1:36" ht="11.25" customHeight="1" x14ac:dyDescent="0.1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9"/>
      <c r="AH358" s="8"/>
      <c r="AI358" s="8"/>
      <c r="AJ358" s="8"/>
    </row>
    <row r="359" spans="1:36" ht="11.25" customHeight="1" x14ac:dyDescent="0.1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9"/>
      <c r="AH359" s="8"/>
      <c r="AI359" s="8"/>
      <c r="AJ359" s="8"/>
    </row>
    <row r="360" spans="1:36" ht="11.25" customHeight="1" x14ac:dyDescent="0.1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9"/>
      <c r="AH360" s="8"/>
      <c r="AI360" s="8"/>
      <c r="AJ360" s="8"/>
    </row>
    <row r="361" spans="1:36" ht="11.25" customHeight="1" x14ac:dyDescent="0.1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9"/>
      <c r="AH361" s="8"/>
      <c r="AI361" s="8"/>
      <c r="AJ361" s="8"/>
    </row>
    <row r="362" spans="1:36" ht="11.25" customHeight="1" x14ac:dyDescent="0.1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9"/>
      <c r="AH362" s="8"/>
      <c r="AI362" s="8"/>
      <c r="AJ362" s="8"/>
    </row>
    <row r="363" spans="1:36" ht="11.25" customHeight="1" x14ac:dyDescent="0.1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9"/>
      <c r="AH363" s="8"/>
      <c r="AI363" s="8"/>
      <c r="AJ363" s="8"/>
    </row>
    <row r="364" spans="1:36" ht="11.25" customHeight="1" x14ac:dyDescent="0.1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9"/>
      <c r="AH364" s="8"/>
      <c r="AI364" s="8"/>
      <c r="AJ364" s="8"/>
    </row>
    <row r="365" spans="1:36" ht="11.25" customHeight="1" x14ac:dyDescent="0.1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9"/>
      <c r="AH365" s="8"/>
      <c r="AI365" s="8"/>
      <c r="AJ365" s="8"/>
    </row>
    <row r="366" spans="1:36" ht="11.25" customHeight="1" x14ac:dyDescent="0.1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9"/>
      <c r="AH366" s="8"/>
      <c r="AI366" s="8"/>
      <c r="AJ366" s="8"/>
    </row>
    <row r="367" spans="1:36" ht="11.25" customHeight="1" x14ac:dyDescent="0.1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9"/>
      <c r="AH367" s="8"/>
      <c r="AI367" s="8"/>
      <c r="AJ367" s="8"/>
    </row>
    <row r="368" spans="1:36" ht="11.25" customHeight="1" x14ac:dyDescent="0.1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9"/>
      <c r="AH368" s="8"/>
      <c r="AI368" s="8"/>
      <c r="AJ368" s="8"/>
    </row>
    <row r="369" spans="1:36" ht="11.25" customHeight="1" x14ac:dyDescent="0.1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9"/>
      <c r="AH369" s="8"/>
      <c r="AI369" s="8"/>
      <c r="AJ369" s="8"/>
    </row>
    <row r="370" spans="1:36" ht="11.25" customHeight="1" x14ac:dyDescent="0.1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9"/>
      <c r="AH370" s="8"/>
      <c r="AI370" s="8"/>
      <c r="AJ370" s="8"/>
    </row>
    <row r="371" spans="1:36" ht="11.25" customHeight="1" x14ac:dyDescent="0.1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9"/>
      <c r="AH371" s="8"/>
      <c r="AI371" s="8"/>
      <c r="AJ371" s="8"/>
    </row>
    <row r="372" spans="1:36" ht="11.25" customHeight="1" x14ac:dyDescent="0.1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9"/>
      <c r="AH372" s="8"/>
      <c r="AI372" s="8"/>
      <c r="AJ372" s="8"/>
    </row>
    <row r="373" spans="1:36" ht="11.25" customHeight="1" x14ac:dyDescent="0.1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9"/>
      <c r="AH373" s="8"/>
      <c r="AI373" s="8"/>
      <c r="AJ373" s="8"/>
    </row>
    <row r="374" spans="1:36" ht="11.25" customHeight="1" x14ac:dyDescent="0.1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9"/>
      <c r="AH374" s="8"/>
      <c r="AI374" s="8"/>
      <c r="AJ374" s="8"/>
    </row>
    <row r="375" spans="1:36" ht="11.25" customHeight="1" x14ac:dyDescent="0.1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9"/>
      <c r="AH375" s="8"/>
      <c r="AI375" s="8"/>
      <c r="AJ375" s="8"/>
    </row>
    <row r="376" spans="1:36" ht="11.25" customHeight="1" x14ac:dyDescent="0.1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9"/>
      <c r="AH376" s="8"/>
      <c r="AI376" s="8"/>
      <c r="AJ376" s="8"/>
    </row>
    <row r="377" spans="1:36" ht="11.25" customHeight="1" x14ac:dyDescent="0.1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9"/>
      <c r="AH377" s="8"/>
      <c r="AI377" s="8"/>
      <c r="AJ377" s="8"/>
    </row>
    <row r="378" spans="1:36" ht="11.25" customHeight="1" x14ac:dyDescent="0.1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9"/>
      <c r="AH378" s="8"/>
      <c r="AI378" s="8"/>
      <c r="AJ378" s="8"/>
    </row>
    <row r="379" spans="1:36" ht="11.25" customHeight="1" x14ac:dyDescent="0.1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9"/>
      <c r="AH379" s="8"/>
      <c r="AI379" s="8"/>
      <c r="AJ379" s="8"/>
    </row>
    <row r="380" spans="1:36" ht="11.25" customHeight="1" x14ac:dyDescent="0.1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9"/>
      <c r="AH380" s="8"/>
      <c r="AI380" s="8"/>
      <c r="AJ380" s="8"/>
    </row>
    <row r="381" spans="1:36" ht="11.25" customHeight="1" x14ac:dyDescent="0.1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9"/>
      <c r="AH381" s="8"/>
      <c r="AI381" s="8"/>
      <c r="AJ381" s="8"/>
    </row>
    <row r="382" spans="1:36" ht="11.25" customHeight="1" x14ac:dyDescent="0.1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9"/>
      <c r="AH382" s="8"/>
      <c r="AI382" s="8"/>
      <c r="AJ382" s="8"/>
    </row>
    <row r="383" spans="1:36" ht="11.25" customHeight="1" x14ac:dyDescent="0.1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9"/>
      <c r="AH383" s="8"/>
      <c r="AI383" s="8"/>
      <c r="AJ383" s="8"/>
    </row>
    <row r="384" spans="1:36" ht="11.25" customHeight="1" x14ac:dyDescent="0.1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9"/>
      <c r="AH384" s="8"/>
      <c r="AI384" s="8"/>
      <c r="AJ384" s="8"/>
    </row>
    <row r="385" spans="1:36" ht="11.25" customHeight="1" x14ac:dyDescent="0.1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9"/>
      <c r="AH385" s="8"/>
      <c r="AI385" s="8"/>
      <c r="AJ385" s="8"/>
    </row>
    <row r="386" spans="1:36" ht="11.25" customHeight="1" x14ac:dyDescent="0.1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9"/>
      <c r="AH386" s="8"/>
      <c r="AI386" s="8"/>
      <c r="AJ386" s="8"/>
    </row>
    <row r="387" spans="1:36" ht="11.25" customHeight="1" x14ac:dyDescent="0.1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9"/>
      <c r="AH387" s="8"/>
      <c r="AI387" s="8"/>
      <c r="AJ387" s="8"/>
    </row>
    <row r="388" spans="1:36" ht="11.25" customHeight="1" x14ac:dyDescent="0.1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9"/>
      <c r="AH388" s="8"/>
      <c r="AI388" s="8"/>
      <c r="AJ388" s="8"/>
    </row>
    <row r="389" spans="1:36" ht="11.25" customHeight="1" x14ac:dyDescent="0.1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9"/>
      <c r="AH389" s="8"/>
      <c r="AI389" s="8"/>
      <c r="AJ389" s="8"/>
    </row>
    <row r="390" spans="1:36" ht="11.25" customHeight="1" x14ac:dyDescent="0.1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9"/>
      <c r="AH390" s="8"/>
      <c r="AI390" s="8"/>
      <c r="AJ390" s="8"/>
    </row>
    <row r="391" spans="1:36" ht="11.25" customHeight="1" x14ac:dyDescent="0.1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9"/>
      <c r="AH391" s="8"/>
      <c r="AI391" s="8"/>
      <c r="AJ391" s="8"/>
    </row>
    <row r="392" spans="1:36" ht="11.25" customHeight="1" x14ac:dyDescent="0.1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9"/>
      <c r="AH392" s="8"/>
      <c r="AI392" s="8"/>
      <c r="AJ392" s="8"/>
    </row>
    <row r="393" spans="1:36" ht="11.25" customHeight="1" x14ac:dyDescent="0.1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9"/>
      <c r="AH393" s="8"/>
      <c r="AI393" s="8"/>
      <c r="AJ393" s="8"/>
    </row>
    <row r="394" spans="1:36" ht="11.25" customHeight="1" x14ac:dyDescent="0.1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9"/>
      <c r="AH394" s="8"/>
      <c r="AI394" s="8"/>
      <c r="AJ394" s="8"/>
    </row>
    <row r="395" spans="1:36" ht="11.25" customHeight="1" x14ac:dyDescent="0.1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9"/>
      <c r="AH395" s="8"/>
      <c r="AI395" s="8"/>
      <c r="AJ395" s="8"/>
    </row>
    <row r="396" spans="1:36" ht="11.25" customHeight="1" x14ac:dyDescent="0.1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9"/>
      <c r="AH396" s="8"/>
      <c r="AI396" s="8"/>
      <c r="AJ396" s="8"/>
    </row>
    <row r="397" spans="1:36" ht="11.25" customHeight="1" x14ac:dyDescent="0.1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9"/>
      <c r="AH397" s="8"/>
      <c r="AI397" s="8"/>
      <c r="AJ397" s="8"/>
    </row>
    <row r="398" spans="1:36" ht="11.25" customHeight="1" x14ac:dyDescent="0.1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9"/>
      <c r="AH398" s="8"/>
      <c r="AI398" s="8"/>
      <c r="AJ398" s="8"/>
    </row>
    <row r="399" spans="1:36" ht="11.25" customHeight="1" x14ac:dyDescent="0.1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9"/>
      <c r="AH399" s="8"/>
      <c r="AI399" s="8"/>
      <c r="AJ399" s="8"/>
    </row>
    <row r="400" spans="1:36" ht="11.25" customHeight="1" x14ac:dyDescent="0.1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9"/>
      <c r="AH400" s="8"/>
      <c r="AI400" s="8"/>
      <c r="AJ400" s="8"/>
    </row>
    <row r="401" spans="1:36" ht="11.25" customHeight="1" x14ac:dyDescent="0.1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9"/>
      <c r="AH401" s="8"/>
      <c r="AI401" s="8"/>
      <c r="AJ401" s="8"/>
    </row>
    <row r="402" spans="1:36" ht="11.25" customHeight="1" x14ac:dyDescent="0.1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9"/>
      <c r="AH402" s="8"/>
      <c r="AI402" s="8"/>
      <c r="AJ402" s="8"/>
    </row>
    <row r="403" spans="1:36" ht="11.25" customHeight="1" x14ac:dyDescent="0.1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9"/>
      <c r="AH403" s="8"/>
      <c r="AI403" s="8"/>
      <c r="AJ403" s="8"/>
    </row>
    <row r="404" spans="1:36" ht="11.25" customHeight="1" x14ac:dyDescent="0.1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9"/>
      <c r="AH404" s="8"/>
      <c r="AI404" s="8"/>
      <c r="AJ404" s="8"/>
    </row>
    <row r="405" spans="1:36" ht="11.25" customHeight="1" x14ac:dyDescent="0.1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9"/>
      <c r="AH405" s="8"/>
      <c r="AI405" s="8"/>
      <c r="AJ405" s="8"/>
    </row>
    <row r="406" spans="1:36" ht="11.25" customHeight="1" x14ac:dyDescent="0.1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9"/>
      <c r="AH406" s="8"/>
      <c r="AI406" s="8"/>
      <c r="AJ406" s="8"/>
    </row>
    <row r="407" spans="1:36" ht="11.25" customHeight="1" x14ac:dyDescent="0.1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  <c r="AF407" s="8"/>
      <c r="AG407" s="9"/>
      <c r="AH407" s="8"/>
      <c r="AI407" s="8"/>
      <c r="AJ407" s="8"/>
    </row>
    <row r="408" spans="1:36" ht="11.25" customHeight="1" x14ac:dyDescent="0.1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  <c r="AF408" s="8"/>
      <c r="AG408" s="9"/>
      <c r="AH408" s="8"/>
      <c r="AI408" s="8"/>
      <c r="AJ408" s="8"/>
    </row>
    <row r="409" spans="1:36" ht="11.25" customHeight="1" x14ac:dyDescent="0.1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  <c r="AF409" s="8"/>
      <c r="AG409" s="9"/>
      <c r="AH409" s="8"/>
      <c r="AI409" s="8"/>
      <c r="AJ409" s="8"/>
    </row>
    <row r="410" spans="1:36" ht="11.25" customHeight="1" x14ac:dyDescent="0.1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  <c r="AF410" s="8"/>
      <c r="AG410" s="9"/>
      <c r="AH410" s="8"/>
      <c r="AI410" s="8"/>
      <c r="AJ410" s="8"/>
    </row>
    <row r="411" spans="1:36" ht="11.25" customHeight="1" x14ac:dyDescent="0.1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9"/>
      <c r="AH411" s="8"/>
      <c r="AI411" s="8"/>
      <c r="AJ411" s="8"/>
    </row>
    <row r="412" spans="1:36" ht="11.25" customHeight="1" x14ac:dyDescent="0.1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  <c r="AF412" s="8"/>
      <c r="AG412" s="9"/>
      <c r="AH412" s="8"/>
      <c r="AI412" s="8"/>
      <c r="AJ412" s="8"/>
    </row>
    <row r="413" spans="1:36" ht="11.25" customHeight="1" x14ac:dyDescent="0.1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9"/>
      <c r="AH413" s="8"/>
      <c r="AI413" s="8"/>
      <c r="AJ413" s="8"/>
    </row>
    <row r="414" spans="1:36" ht="11.25" customHeight="1" x14ac:dyDescent="0.1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  <c r="AF414" s="8"/>
      <c r="AG414" s="9"/>
      <c r="AH414" s="8"/>
      <c r="AI414" s="8"/>
      <c r="AJ414" s="8"/>
    </row>
    <row r="415" spans="1:36" ht="11.25" customHeight="1" x14ac:dyDescent="0.1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9"/>
      <c r="AH415" s="8"/>
      <c r="AI415" s="8"/>
      <c r="AJ415" s="8"/>
    </row>
    <row r="416" spans="1:36" ht="11.25" customHeight="1" x14ac:dyDescent="0.1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  <c r="AF416" s="8"/>
      <c r="AG416" s="9"/>
      <c r="AH416" s="8"/>
      <c r="AI416" s="8"/>
      <c r="AJ416" s="8"/>
    </row>
    <row r="417" spans="1:36" ht="11.25" customHeight="1" x14ac:dyDescent="0.1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  <c r="AF417" s="8"/>
      <c r="AG417" s="9"/>
      <c r="AH417" s="8"/>
      <c r="AI417" s="8"/>
      <c r="AJ417" s="8"/>
    </row>
    <row r="418" spans="1:36" ht="11.25" customHeight="1" x14ac:dyDescent="0.1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  <c r="AF418" s="8"/>
      <c r="AG418" s="9"/>
      <c r="AH418" s="8"/>
      <c r="AI418" s="8"/>
      <c r="AJ418" s="8"/>
    </row>
    <row r="419" spans="1:36" ht="11.25" customHeight="1" x14ac:dyDescent="0.1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  <c r="AF419" s="8"/>
      <c r="AG419" s="9"/>
      <c r="AH419" s="8"/>
      <c r="AI419" s="8"/>
      <c r="AJ419" s="8"/>
    </row>
    <row r="420" spans="1:36" ht="11.25" customHeight="1" x14ac:dyDescent="0.1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9"/>
      <c r="AH420" s="8"/>
      <c r="AI420" s="8"/>
      <c r="AJ420" s="8"/>
    </row>
    <row r="421" spans="1:36" ht="11.25" customHeight="1" x14ac:dyDescent="0.1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  <c r="AF421" s="8"/>
      <c r="AG421" s="9"/>
      <c r="AH421" s="8"/>
      <c r="AI421" s="8"/>
      <c r="AJ421" s="8"/>
    </row>
    <row r="422" spans="1:36" ht="11.25" customHeight="1" x14ac:dyDescent="0.1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9"/>
      <c r="AH422" s="8"/>
      <c r="AI422" s="8"/>
      <c r="AJ422" s="8"/>
    </row>
    <row r="423" spans="1:36" ht="11.25" customHeight="1" x14ac:dyDescent="0.1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  <c r="AF423" s="8"/>
      <c r="AG423" s="9"/>
      <c r="AH423" s="8"/>
      <c r="AI423" s="8"/>
      <c r="AJ423" s="8"/>
    </row>
    <row r="424" spans="1:36" ht="11.25" customHeight="1" x14ac:dyDescent="0.1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9"/>
      <c r="AH424" s="8"/>
      <c r="AI424" s="8"/>
      <c r="AJ424" s="8"/>
    </row>
    <row r="425" spans="1:36" ht="11.25" customHeight="1" x14ac:dyDescent="0.1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  <c r="AF425" s="8"/>
      <c r="AG425" s="9"/>
      <c r="AH425" s="8"/>
      <c r="AI425" s="8"/>
      <c r="AJ425" s="8"/>
    </row>
    <row r="426" spans="1:36" ht="11.25" customHeight="1" x14ac:dyDescent="0.1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  <c r="AF426" s="8"/>
      <c r="AG426" s="9"/>
      <c r="AH426" s="8"/>
      <c r="AI426" s="8"/>
      <c r="AJ426" s="8"/>
    </row>
    <row r="427" spans="1:36" ht="11.25" customHeight="1" x14ac:dyDescent="0.1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  <c r="AF427" s="8"/>
      <c r="AG427" s="9"/>
      <c r="AH427" s="8"/>
      <c r="AI427" s="8"/>
      <c r="AJ427" s="8"/>
    </row>
    <row r="428" spans="1:36" ht="11.25" customHeight="1" x14ac:dyDescent="0.1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  <c r="AF428" s="8"/>
      <c r="AG428" s="9"/>
      <c r="AH428" s="8"/>
      <c r="AI428" s="8"/>
      <c r="AJ428" s="8"/>
    </row>
    <row r="429" spans="1:36" ht="11.25" customHeight="1" x14ac:dyDescent="0.1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  <c r="AF429" s="8"/>
      <c r="AG429" s="9"/>
      <c r="AH429" s="8"/>
      <c r="AI429" s="8"/>
      <c r="AJ429" s="8"/>
    </row>
    <row r="430" spans="1:36" ht="11.25" customHeight="1" x14ac:dyDescent="0.1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  <c r="AF430" s="8"/>
      <c r="AG430" s="9"/>
      <c r="AH430" s="8"/>
      <c r="AI430" s="8"/>
      <c r="AJ430" s="8"/>
    </row>
    <row r="431" spans="1:36" ht="11.25" customHeight="1" x14ac:dyDescent="0.1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  <c r="AF431" s="8"/>
      <c r="AG431" s="9"/>
      <c r="AH431" s="8"/>
      <c r="AI431" s="8"/>
      <c r="AJ431" s="8"/>
    </row>
    <row r="432" spans="1:36" ht="11.25" customHeight="1" x14ac:dyDescent="0.1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  <c r="AF432" s="8"/>
      <c r="AG432" s="9"/>
      <c r="AH432" s="8"/>
      <c r="AI432" s="8"/>
      <c r="AJ432" s="8"/>
    </row>
    <row r="433" spans="1:36" ht="11.25" customHeight="1" x14ac:dyDescent="0.1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  <c r="AF433" s="8"/>
      <c r="AG433" s="9"/>
      <c r="AH433" s="8"/>
      <c r="AI433" s="8"/>
      <c r="AJ433" s="8"/>
    </row>
    <row r="434" spans="1:36" ht="11.25" customHeight="1" x14ac:dyDescent="0.1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  <c r="AF434" s="8"/>
      <c r="AG434" s="9"/>
      <c r="AH434" s="8"/>
      <c r="AI434" s="8"/>
      <c r="AJ434" s="8"/>
    </row>
    <row r="435" spans="1:36" ht="11.25" customHeight="1" x14ac:dyDescent="0.1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  <c r="AF435" s="8"/>
      <c r="AG435" s="9"/>
      <c r="AH435" s="8"/>
      <c r="AI435" s="8"/>
      <c r="AJ435" s="8"/>
    </row>
    <row r="436" spans="1:36" ht="11.25" customHeight="1" x14ac:dyDescent="0.1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  <c r="AF436" s="8"/>
      <c r="AG436" s="9"/>
      <c r="AH436" s="8"/>
      <c r="AI436" s="8"/>
      <c r="AJ436" s="8"/>
    </row>
    <row r="437" spans="1:36" ht="11.25" customHeight="1" x14ac:dyDescent="0.1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  <c r="AF437" s="8"/>
      <c r="AG437" s="9"/>
      <c r="AH437" s="8"/>
      <c r="AI437" s="8"/>
      <c r="AJ437" s="8"/>
    </row>
    <row r="438" spans="1:36" ht="11.25" customHeight="1" x14ac:dyDescent="0.1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  <c r="AF438" s="8"/>
      <c r="AG438" s="9"/>
      <c r="AH438" s="8"/>
      <c r="AI438" s="8"/>
      <c r="AJ438" s="8"/>
    </row>
    <row r="439" spans="1:36" ht="11.25" customHeight="1" x14ac:dyDescent="0.1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  <c r="AF439" s="8"/>
      <c r="AG439" s="9"/>
      <c r="AH439" s="8"/>
      <c r="AI439" s="8"/>
      <c r="AJ439" s="8"/>
    </row>
    <row r="440" spans="1:36" ht="11.25" customHeight="1" x14ac:dyDescent="0.1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  <c r="AF440" s="8"/>
      <c r="AG440" s="9"/>
      <c r="AH440" s="8"/>
      <c r="AI440" s="8"/>
      <c r="AJ440" s="8"/>
    </row>
    <row r="441" spans="1:36" ht="11.25" customHeight="1" x14ac:dyDescent="0.1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9"/>
      <c r="AH441" s="8"/>
      <c r="AI441" s="8"/>
      <c r="AJ441" s="8"/>
    </row>
    <row r="442" spans="1:36" ht="11.25" customHeight="1" x14ac:dyDescent="0.1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9"/>
      <c r="AH442" s="8"/>
      <c r="AI442" s="8"/>
      <c r="AJ442" s="8"/>
    </row>
    <row r="443" spans="1:36" ht="11.25" customHeight="1" x14ac:dyDescent="0.1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9"/>
      <c r="AH443" s="8"/>
      <c r="AI443" s="8"/>
      <c r="AJ443" s="8"/>
    </row>
    <row r="444" spans="1:36" ht="11.25" customHeight="1" x14ac:dyDescent="0.1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9"/>
      <c r="AH444" s="8"/>
      <c r="AI444" s="8"/>
      <c r="AJ444" s="8"/>
    </row>
    <row r="445" spans="1:36" ht="11.25" customHeight="1" x14ac:dyDescent="0.1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  <c r="AF445" s="8"/>
      <c r="AG445" s="9"/>
      <c r="AH445" s="8"/>
      <c r="AI445" s="8"/>
      <c r="AJ445" s="8"/>
    </row>
    <row r="446" spans="1:36" ht="11.25" customHeight="1" x14ac:dyDescent="0.1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9"/>
      <c r="AH446" s="8"/>
      <c r="AI446" s="8"/>
      <c r="AJ446" s="8"/>
    </row>
    <row r="447" spans="1:36" ht="11.25" customHeight="1" x14ac:dyDescent="0.1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9"/>
      <c r="AH447" s="8"/>
      <c r="AI447" s="8"/>
      <c r="AJ447" s="8"/>
    </row>
    <row r="448" spans="1:36" ht="11.25" customHeight="1" x14ac:dyDescent="0.1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9"/>
      <c r="AH448" s="8"/>
      <c r="AI448" s="8"/>
      <c r="AJ448" s="8"/>
    </row>
    <row r="449" spans="1:36" ht="11.25" customHeight="1" x14ac:dyDescent="0.1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  <c r="AF449" s="8"/>
      <c r="AG449" s="9"/>
      <c r="AH449" s="8"/>
      <c r="AI449" s="8"/>
      <c r="AJ449" s="8"/>
    </row>
    <row r="450" spans="1:36" ht="11.25" customHeight="1" x14ac:dyDescent="0.1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9"/>
      <c r="AH450" s="8"/>
      <c r="AI450" s="8"/>
      <c r="AJ450" s="8"/>
    </row>
    <row r="451" spans="1:36" ht="11.25" customHeight="1" x14ac:dyDescent="0.1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  <c r="AF451" s="8"/>
      <c r="AG451" s="9"/>
      <c r="AH451" s="8"/>
      <c r="AI451" s="8"/>
      <c r="AJ451" s="8"/>
    </row>
    <row r="452" spans="1:36" ht="11.25" customHeight="1" x14ac:dyDescent="0.1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  <c r="AF452" s="8"/>
      <c r="AG452" s="9"/>
      <c r="AH452" s="8"/>
      <c r="AI452" s="8"/>
      <c r="AJ452" s="8"/>
    </row>
    <row r="453" spans="1:36" ht="11.25" customHeight="1" x14ac:dyDescent="0.1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  <c r="AF453" s="8"/>
      <c r="AG453" s="9"/>
      <c r="AH453" s="8"/>
      <c r="AI453" s="8"/>
      <c r="AJ453" s="8"/>
    </row>
    <row r="454" spans="1:36" ht="11.25" customHeight="1" x14ac:dyDescent="0.1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  <c r="AF454" s="8"/>
      <c r="AG454" s="9"/>
      <c r="AH454" s="8"/>
      <c r="AI454" s="8"/>
      <c r="AJ454" s="8"/>
    </row>
    <row r="455" spans="1:36" ht="11.25" customHeight="1" x14ac:dyDescent="0.1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9"/>
      <c r="AH455" s="8"/>
      <c r="AI455" s="8"/>
      <c r="AJ455" s="8"/>
    </row>
    <row r="456" spans="1:36" ht="11.25" customHeight="1" x14ac:dyDescent="0.1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9"/>
      <c r="AH456" s="8"/>
      <c r="AI456" s="8"/>
      <c r="AJ456" s="8"/>
    </row>
    <row r="457" spans="1:36" ht="11.25" customHeight="1" x14ac:dyDescent="0.1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9"/>
      <c r="AH457" s="8"/>
      <c r="AI457" s="8"/>
      <c r="AJ457" s="8"/>
    </row>
    <row r="458" spans="1:36" ht="11.25" customHeight="1" x14ac:dyDescent="0.1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9"/>
      <c r="AH458" s="8"/>
      <c r="AI458" s="8"/>
      <c r="AJ458" s="8"/>
    </row>
    <row r="459" spans="1:36" ht="11.25" customHeight="1" x14ac:dyDescent="0.1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  <c r="AF459" s="8"/>
      <c r="AG459" s="9"/>
      <c r="AH459" s="8"/>
      <c r="AI459" s="8"/>
      <c r="AJ459" s="8"/>
    </row>
    <row r="460" spans="1:36" ht="11.25" customHeight="1" x14ac:dyDescent="0.1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9"/>
      <c r="AH460" s="8"/>
      <c r="AI460" s="8"/>
      <c r="AJ460" s="8"/>
    </row>
    <row r="461" spans="1:36" ht="11.25" customHeight="1" x14ac:dyDescent="0.1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9"/>
      <c r="AH461" s="8"/>
      <c r="AI461" s="8"/>
      <c r="AJ461" s="8"/>
    </row>
    <row r="462" spans="1:36" ht="11.25" customHeight="1" x14ac:dyDescent="0.1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9"/>
      <c r="AH462" s="8"/>
      <c r="AI462" s="8"/>
      <c r="AJ462" s="8"/>
    </row>
    <row r="463" spans="1:36" ht="11.25" customHeight="1" x14ac:dyDescent="0.1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9"/>
      <c r="AH463" s="8"/>
      <c r="AI463" s="8"/>
      <c r="AJ463" s="8"/>
    </row>
    <row r="464" spans="1:36" ht="11.25" customHeight="1" x14ac:dyDescent="0.1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9"/>
      <c r="AH464" s="8"/>
      <c r="AI464" s="8"/>
      <c r="AJ464" s="8"/>
    </row>
    <row r="465" spans="1:36" ht="11.25" customHeight="1" x14ac:dyDescent="0.1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9"/>
      <c r="AH465" s="8"/>
      <c r="AI465" s="8"/>
      <c r="AJ465" s="8"/>
    </row>
    <row r="466" spans="1:36" ht="11.25" customHeight="1" x14ac:dyDescent="0.1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9"/>
      <c r="AH466" s="8"/>
      <c r="AI466" s="8"/>
      <c r="AJ466" s="8"/>
    </row>
    <row r="467" spans="1:36" ht="11.25" customHeight="1" x14ac:dyDescent="0.1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  <c r="AC467" s="8"/>
      <c r="AD467" s="8"/>
      <c r="AE467" s="8"/>
      <c r="AF467" s="8"/>
      <c r="AG467" s="9"/>
      <c r="AH467" s="8"/>
      <c r="AI467" s="8"/>
      <c r="AJ467" s="8"/>
    </row>
    <row r="468" spans="1:36" ht="11.25" customHeight="1" x14ac:dyDescent="0.1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9"/>
      <c r="AH468" s="8"/>
      <c r="AI468" s="8"/>
      <c r="AJ468" s="8"/>
    </row>
    <row r="469" spans="1:36" ht="11.25" customHeight="1" x14ac:dyDescent="0.1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9"/>
      <c r="AH469" s="8"/>
      <c r="AI469" s="8"/>
      <c r="AJ469" s="8"/>
    </row>
    <row r="470" spans="1:36" ht="11.25" customHeight="1" x14ac:dyDescent="0.1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9"/>
      <c r="AH470" s="8"/>
      <c r="AI470" s="8"/>
      <c r="AJ470" s="8"/>
    </row>
    <row r="471" spans="1:36" ht="11.25" customHeight="1" x14ac:dyDescent="0.1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  <c r="AC471" s="8"/>
      <c r="AD471" s="8"/>
      <c r="AE471" s="8"/>
      <c r="AF471" s="8"/>
      <c r="AG471" s="9"/>
      <c r="AH471" s="8"/>
      <c r="AI471" s="8"/>
      <c r="AJ471" s="8"/>
    </row>
    <row r="472" spans="1:36" ht="11.25" customHeight="1" x14ac:dyDescent="0.1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9"/>
      <c r="AH472" s="8"/>
      <c r="AI472" s="8"/>
      <c r="AJ472" s="8"/>
    </row>
    <row r="473" spans="1:36" ht="11.25" customHeight="1" x14ac:dyDescent="0.1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9"/>
      <c r="AH473" s="8"/>
      <c r="AI473" s="8"/>
      <c r="AJ473" s="8"/>
    </row>
    <row r="474" spans="1:36" ht="11.25" customHeight="1" x14ac:dyDescent="0.1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  <c r="AF474" s="8"/>
      <c r="AG474" s="9"/>
      <c r="AH474" s="8"/>
      <c r="AI474" s="8"/>
      <c r="AJ474" s="8"/>
    </row>
    <row r="475" spans="1:36" ht="11.25" customHeight="1" x14ac:dyDescent="0.1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9"/>
      <c r="AH475" s="8"/>
      <c r="AI475" s="8"/>
      <c r="AJ475" s="8"/>
    </row>
    <row r="476" spans="1:36" ht="11.25" customHeight="1" x14ac:dyDescent="0.1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  <c r="AF476" s="8"/>
      <c r="AG476" s="9"/>
      <c r="AH476" s="8"/>
      <c r="AI476" s="8"/>
      <c r="AJ476" s="8"/>
    </row>
    <row r="477" spans="1:36" ht="11.25" customHeight="1" x14ac:dyDescent="0.1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  <c r="AF477" s="8"/>
      <c r="AG477" s="9"/>
      <c r="AH477" s="8"/>
      <c r="AI477" s="8"/>
      <c r="AJ477" s="8"/>
    </row>
    <row r="478" spans="1:36" ht="11.25" customHeight="1" x14ac:dyDescent="0.1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  <c r="AF478" s="8"/>
      <c r="AG478" s="9"/>
      <c r="AH478" s="8"/>
      <c r="AI478" s="8"/>
      <c r="AJ478" s="8"/>
    </row>
    <row r="479" spans="1:36" ht="11.25" customHeight="1" x14ac:dyDescent="0.1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  <c r="AF479" s="8"/>
      <c r="AG479" s="9"/>
      <c r="AH479" s="8"/>
      <c r="AI479" s="8"/>
      <c r="AJ479" s="8"/>
    </row>
    <row r="480" spans="1:36" ht="11.25" customHeight="1" x14ac:dyDescent="0.1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  <c r="AF480" s="8"/>
      <c r="AG480" s="9"/>
      <c r="AH480" s="8"/>
      <c r="AI480" s="8"/>
      <c r="AJ480" s="8"/>
    </row>
    <row r="481" spans="1:36" ht="11.25" customHeight="1" x14ac:dyDescent="0.1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  <c r="AF481" s="8"/>
      <c r="AG481" s="9"/>
      <c r="AH481" s="8"/>
      <c r="AI481" s="8"/>
      <c r="AJ481" s="8"/>
    </row>
    <row r="482" spans="1:36" ht="11.25" customHeight="1" x14ac:dyDescent="0.1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  <c r="AF482" s="8"/>
      <c r="AG482" s="9"/>
      <c r="AH482" s="8"/>
      <c r="AI482" s="8"/>
      <c r="AJ482" s="8"/>
    </row>
    <row r="483" spans="1:36" ht="11.25" customHeight="1" x14ac:dyDescent="0.1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  <c r="AF483" s="8"/>
      <c r="AG483" s="9"/>
      <c r="AH483" s="8"/>
      <c r="AI483" s="8"/>
      <c r="AJ483" s="8"/>
    </row>
    <row r="484" spans="1:36" ht="11.25" customHeight="1" x14ac:dyDescent="0.1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  <c r="AF484" s="8"/>
      <c r="AG484" s="9"/>
      <c r="AH484" s="8"/>
      <c r="AI484" s="8"/>
      <c r="AJ484" s="8"/>
    </row>
    <row r="485" spans="1:36" ht="11.25" customHeight="1" x14ac:dyDescent="0.1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  <c r="AF485" s="8"/>
      <c r="AG485" s="9"/>
      <c r="AH485" s="8"/>
      <c r="AI485" s="8"/>
      <c r="AJ485" s="8"/>
    </row>
    <row r="486" spans="1:36" ht="11.25" customHeight="1" x14ac:dyDescent="0.1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  <c r="AC486" s="8"/>
      <c r="AD486" s="8"/>
      <c r="AE486" s="8"/>
      <c r="AF486" s="8"/>
      <c r="AG486" s="9"/>
      <c r="AH486" s="8"/>
      <c r="AI486" s="8"/>
      <c r="AJ486" s="8"/>
    </row>
    <row r="487" spans="1:36" ht="11.25" customHeight="1" x14ac:dyDescent="0.1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9"/>
      <c r="AH487" s="8"/>
      <c r="AI487" s="8"/>
      <c r="AJ487" s="8"/>
    </row>
    <row r="488" spans="1:36" ht="11.25" customHeight="1" x14ac:dyDescent="0.1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  <c r="AC488" s="8"/>
      <c r="AD488" s="8"/>
      <c r="AE488" s="8"/>
      <c r="AF488" s="8"/>
      <c r="AG488" s="9"/>
      <c r="AH488" s="8"/>
      <c r="AI488" s="8"/>
      <c r="AJ488" s="8"/>
    </row>
    <row r="489" spans="1:36" ht="11.25" customHeight="1" x14ac:dyDescent="0.1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9"/>
      <c r="AH489" s="8"/>
      <c r="AI489" s="8"/>
      <c r="AJ489" s="8"/>
    </row>
    <row r="490" spans="1:36" ht="11.25" customHeight="1" x14ac:dyDescent="0.1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  <c r="AC490" s="8"/>
      <c r="AD490" s="8"/>
      <c r="AE490" s="8"/>
      <c r="AF490" s="8"/>
      <c r="AG490" s="9"/>
      <c r="AH490" s="8"/>
      <c r="AI490" s="8"/>
      <c r="AJ490" s="8"/>
    </row>
    <row r="491" spans="1:36" ht="11.25" customHeight="1" x14ac:dyDescent="0.1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  <c r="AC491" s="8"/>
      <c r="AD491" s="8"/>
      <c r="AE491" s="8"/>
      <c r="AF491" s="8"/>
      <c r="AG491" s="9"/>
      <c r="AH491" s="8"/>
      <c r="AI491" s="8"/>
      <c r="AJ491" s="8"/>
    </row>
    <row r="492" spans="1:36" ht="11.25" customHeight="1" x14ac:dyDescent="0.1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  <c r="AC492" s="8"/>
      <c r="AD492" s="8"/>
      <c r="AE492" s="8"/>
      <c r="AF492" s="8"/>
      <c r="AG492" s="9"/>
      <c r="AH492" s="8"/>
      <c r="AI492" s="8"/>
      <c r="AJ492" s="8"/>
    </row>
    <row r="493" spans="1:36" ht="11.25" customHeight="1" x14ac:dyDescent="0.1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  <c r="AC493" s="8"/>
      <c r="AD493" s="8"/>
      <c r="AE493" s="8"/>
      <c r="AF493" s="8"/>
      <c r="AG493" s="9"/>
      <c r="AH493" s="8"/>
      <c r="AI493" s="8"/>
      <c r="AJ493" s="8"/>
    </row>
    <row r="494" spans="1:36" ht="11.25" customHeight="1" x14ac:dyDescent="0.1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  <c r="AC494" s="8"/>
      <c r="AD494" s="8"/>
      <c r="AE494" s="8"/>
      <c r="AF494" s="8"/>
      <c r="AG494" s="9"/>
      <c r="AH494" s="8"/>
      <c r="AI494" s="8"/>
      <c r="AJ494" s="8"/>
    </row>
    <row r="495" spans="1:36" ht="11.25" customHeight="1" x14ac:dyDescent="0.1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  <c r="AC495" s="8"/>
      <c r="AD495" s="8"/>
      <c r="AE495" s="8"/>
      <c r="AF495" s="8"/>
      <c r="AG495" s="9"/>
      <c r="AH495" s="8"/>
      <c r="AI495" s="8"/>
      <c r="AJ495" s="8"/>
    </row>
    <row r="496" spans="1:36" ht="11.25" customHeight="1" x14ac:dyDescent="0.1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  <c r="AC496" s="8"/>
      <c r="AD496" s="8"/>
      <c r="AE496" s="8"/>
      <c r="AF496" s="8"/>
      <c r="AG496" s="9"/>
      <c r="AH496" s="8"/>
      <c r="AI496" s="8"/>
      <c r="AJ496" s="8"/>
    </row>
    <row r="497" spans="1:36" ht="11.25" customHeight="1" x14ac:dyDescent="0.1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  <c r="AC497" s="8"/>
      <c r="AD497" s="8"/>
      <c r="AE497" s="8"/>
      <c r="AF497" s="8"/>
      <c r="AG497" s="9"/>
      <c r="AH497" s="8"/>
      <c r="AI497" s="8"/>
      <c r="AJ497" s="8"/>
    </row>
    <row r="498" spans="1:36" ht="11.25" customHeight="1" x14ac:dyDescent="0.1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9"/>
      <c r="AH498" s="8"/>
      <c r="AI498" s="8"/>
      <c r="AJ498" s="8"/>
    </row>
    <row r="499" spans="1:36" ht="11.25" customHeight="1" x14ac:dyDescent="0.1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  <c r="AC499" s="8"/>
      <c r="AD499" s="8"/>
      <c r="AE499" s="8"/>
      <c r="AF499" s="8"/>
      <c r="AG499" s="9"/>
      <c r="AH499" s="8"/>
      <c r="AI499" s="8"/>
      <c r="AJ499" s="8"/>
    </row>
    <row r="500" spans="1:36" ht="11.25" customHeight="1" x14ac:dyDescent="0.1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  <c r="AC500" s="8"/>
      <c r="AD500" s="8"/>
      <c r="AE500" s="8"/>
      <c r="AF500" s="8"/>
      <c r="AG500" s="9"/>
      <c r="AH500" s="8"/>
      <c r="AI500" s="8"/>
      <c r="AJ500" s="8"/>
    </row>
    <row r="501" spans="1:36" ht="11.25" customHeight="1" x14ac:dyDescent="0.1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  <c r="AC501" s="8"/>
      <c r="AD501" s="8"/>
      <c r="AE501" s="8"/>
      <c r="AF501" s="8"/>
      <c r="AG501" s="9"/>
      <c r="AH501" s="8"/>
      <c r="AI501" s="8"/>
      <c r="AJ501" s="8"/>
    </row>
    <row r="502" spans="1:36" ht="11.25" customHeight="1" x14ac:dyDescent="0.1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  <c r="AC502" s="8"/>
      <c r="AD502" s="8"/>
      <c r="AE502" s="8"/>
      <c r="AF502" s="8"/>
      <c r="AG502" s="9"/>
      <c r="AH502" s="8"/>
      <c r="AI502" s="8"/>
      <c r="AJ502" s="8"/>
    </row>
    <row r="503" spans="1:36" ht="11.25" customHeight="1" x14ac:dyDescent="0.1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9"/>
      <c r="AH503" s="8"/>
      <c r="AI503" s="8"/>
      <c r="AJ503" s="8"/>
    </row>
    <row r="504" spans="1:36" ht="11.25" customHeight="1" x14ac:dyDescent="0.1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9"/>
      <c r="AH504" s="8"/>
      <c r="AI504" s="8"/>
      <c r="AJ504" s="8"/>
    </row>
    <row r="505" spans="1:36" ht="11.25" customHeight="1" x14ac:dyDescent="0.1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9"/>
      <c r="AH505" s="8"/>
      <c r="AI505" s="8"/>
      <c r="AJ505" s="8"/>
    </row>
    <row r="506" spans="1:36" ht="11.25" customHeight="1" x14ac:dyDescent="0.1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9"/>
      <c r="AH506" s="8"/>
      <c r="AI506" s="8"/>
      <c r="AJ506" s="8"/>
    </row>
    <row r="507" spans="1:36" ht="11.25" customHeight="1" x14ac:dyDescent="0.1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  <c r="AC507" s="8"/>
      <c r="AD507" s="8"/>
      <c r="AE507" s="8"/>
      <c r="AF507" s="8"/>
      <c r="AG507" s="9"/>
      <c r="AH507" s="8"/>
      <c r="AI507" s="8"/>
      <c r="AJ507" s="8"/>
    </row>
    <row r="508" spans="1:36" ht="11.25" customHeight="1" x14ac:dyDescent="0.1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9"/>
      <c r="AH508" s="8"/>
      <c r="AI508" s="8"/>
      <c r="AJ508" s="8"/>
    </row>
    <row r="509" spans="1:36" ht="11.25" customHeight="1" x14ac:dyDescent="0.1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9"/>
      <c r="AH509" s="8"/>
      <c r="AI509" s="8"/>
      <c r="AJ509" s="8"/>
    </row>
    <row r="510" spans="1:36" ht="11.25" customHeight="1" x14ac:dyDescent="0.1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  <c r="AC510" s="8"/>
      <c r="AD510" s="8"/>
      <c r="AE510" s="8"/>
      <c r="AF510" s="8"/>
      <c r="AG510" s="9"/>
      <c r="AH510" s="8"/>
      <c r="AI510" s="8"/>
      <c r="AJ510" s="8"/>
    </row>
    <row r="511" spans="1:36" ht="11.25" customHeight="1" x14ac:dyDescent="0.1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9"/>
      <c r="AH511" s="8"/>
      <c r="AI511" s="8"/>
      <c r="AJ511" s="8"/>
    </row>
    <row r="512" spans="1:36" ht="11.25" customHeight="1" x14ac:dyDescent="0.1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  <c r="AC512" s="8"/>
      <c r="AD512" s="8"/>
      <c r="AE512" s="8"/>
      <c r="AF512" s="8"/>
      <c r="AG512" s="9"/>
      <c r="AH512" s="8"/>
      <c r="AI512" s="8"/>
      <c r="AJ512" s="8"/>
    </row>
    <row r="513" spans="1:36" ht="11.25" customHeight="1" x14ac:dyDescent="0.1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  <c r="AC513" s="8"/>
      <c r="AD513" s="8"/>
      <c r="AE513" s="8"/>
      <c r="AF513" s="8"/>
      <c r="AG513" s="9"/>
      <c r="AH513" s="8"/>
      <c r="AI513" s="8"/>
      <c r="AJ513" s="8"/>
    </row>
    <row r="514" spans="1:36" ht="11.25" customHeight="1" x14ac:dyDescent="0.1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  <c r="AC514" s="8"/>
      <c r="AD514" s="8"/>
      <c r="AE514" s="8"/>
      <c r="AF514" s="8"/>
      <c r="AG514" s="9"/>
      <c r="AH514" s="8"/>
      <c r="AI514" s="8"/>
      <c r="AJ514" s="8"/>
    </row>
    <row r="515" spans="1:36" ht="11.25" customHeight="1" x14ac:dyDescent="0.1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  <c r="AC515" s="8"/>
      <c r="AD515" s="8"/>
      <c r="AE515" s="8"/>
      <c r="AF515" s="8"/>
      <c r="AG515" s="9"/>
      <c r="AH515" s="8"/>
      <c r="AI515" s="8"/>
      <c r="AJ515" s="8"/>
    </row>
    <row r="516" spans="1:36" ht="11.25" customHeight="1" x14ac:dyDescent="0.1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9"/>
      <c r="AH516" s="8"/>
      <c r="AI516" s="8"/>
      <c r="AJ516" s="8"/>
    </row>
    <row r="517" spans="1:36" ht="11.25" customHeight="1" x14ac:dyDescent="0.1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9"/>
      <c r="AH517" s="8"/>
      <c r="AI517" s="8"/>
      <c r="AJ517" s="8"/>
    </row>
    <row r="518" spans="1:36" ht="11.25" customHeight="1" x14ac:dyDescent="0.1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9"/>
      <c r="AH518" s="8"/>
      <c r="AI518" s="8"/>
      <c r="AJ518" s="8"/>
    </row>
    <row r="519" spans="1:36" ht="11.25" customHeight="1" x14ac:dyDescent="0.1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  <c r="AC519" s="8"/>
      <c r="AD519" s="8"/>
      <c r="AE519" s="8"/>
      <c r="AF519" s="8"/>
      <c r="AG519" s="9"/>
      <c r="AH519" s="8"/>
      <c r="AI519" s="8"/>
      <c r="AJ519" s="8"/>
    </row>
    <row r="520" spans="1:36" ht="11.25" customHeight="1" x14ac:dyDescent="0.1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9"/>
      <c r="AH520" s="8"/>
      <c r="AI520" s="8"/>
      <c r="AJ520" s="8"/>
    </row>
    <row r="521" spans="1:36" ht="11.25" customHeight="1" x14ac:dyDescent="0.1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9"/>
      <c r="AH521" s="8"/>
      <c r="AI521" s="8"/>
      <c r="AJ521" s="8"/>
    </row>
    <row r="522" spans="1:36" ht="11.25" customHeight="1" x14ac:dyDescent="0.1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9"/>
      <c r="AH522" s="8"/>
      <c r="AI522" s="8"/>
      <c r="AJ522" s="8"/>
    </row>
    <row r="523" spans="1:36" ht="11.25" customHeight="1" x14ac:dyDescent="0.1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9"/>
      <c r="AH523" s="8"/>
      <c r="AI523" s="8"/>
      <c r="AJ523" s="8"/>
    </row>
    <row r="524" spans="1:36" ht="11.25" customHeight="1" x14ac:dyDescent="0.1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9"/>
      <c r="AH524" s="8"/>
      <c r="AI524" s="8"/>
      <c r="AJ524" s="8"/>
    </row>
    <row r="525" spans="1:36" ht="11.25" customHeight="1" x14ac:dyDescent="0.1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9"/>
      <c r="AH525" s="8"/>
      <c r="AI525" s="8"/>
      <c r="AJ525" s="8"/>
    </row>
    <row r="526" spans="1:36" ht="11.25" customHeight="1" x14ac:dyDescent="0.1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  <c r="AC526" s="8"/>
      <c r="AD526" s="8"/>
      <c r="AE526" s="8"/>
      <c r="AF526" s="8"/>
      <c r="AG526" s="9"/>
      <c r="AH526" s="8"/>
      <c r="AI526" s="8"/>
      <c r="AJ526" s="8"/>
    </row>
    <row r="527" spans="1:36" ht="11.25" customHeight="1" x14ac:dyDescent="0.1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9"/>
      <c r="AH527" s="8"/>
      <c r="AI527" s="8"/>
      <c r="AJ527" s="8"/>
    </row>
    <row r="528" spans="1:36" ht="11.25" customHeight="1" x14ac:dyDescent="0.1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9"/>
      <c r="AH528" s="8"/>
      <c r="AI528" s="8"/>
      <c r="AJ528" s="8"/>
    </row>
    <row r="529" spans="1:36" ht="11.25" customHeight="1" x14ac:dyDescent="0.1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9"/>
      <c r="AH529" s="8"/>
      <c r="AI529" s="8"/>
      <c r="AJ529" s="8"/>
    </row>
    <row r="530" spans="1:36" ht="11.25" customHeight="1" x14ac:dyDescent="0.1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  <c r="AC530" s="8"/>
      <c r="AD530" s="8"/>
      <c r="AE530" s="8"/>
      <c r="AF530" s="8"/>
      <c r="AG530" s="9"/>
      <c r="AH530" s="8"/>
      <c r="AI530" s="8"/>
      <c r="AJ530" s="8"/>
    </row>
    <row r="531" spans="1:36" ht="11.25" customHeight="1" x14ac:dyDescent="0.1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9"/>
      <c r="AH531" s="8"/>
      <c r="AI531" s="8"/>
      <c r="AJ531" s="8"/>
    </row>
    <row r="532" spans="1:36" ht="11.25" customHeight="1" x14ac:dyDescent="0.1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9"/>
      <c r="AH532" s="8"/>
      <c r="AI532" s="8"/>
      <c r="AJ532" s="8"/>
    </row>
    <row r="533" spans="1:36" ht="11.25" customHeight="1" x14ac:dyDescent="0.1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  <c r="AC533" s="8"/>
      <c r="AD533" s="8"/>
      <c r="AE533" s="8"/>
      <c r="AF533" s="8"/>
      <c r="AG533" s="9"/>
      <c r="AH533" s="8"/>
      <c r="AI533" s="8"/>
      <c r="AJ533" s="8"/>
    </row>
    <row r="534" spans="1:36" ht="11.25" customHeight="1" x14ac:dyDescent="0.1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  <c r="AC534" s="8"/>
      <c r="AD534" s="8"/>
      <c r="AE534" s="8"/>
      <c r="AF534" s="8"/>
      <c r="AG534" s="9"/>
      <c r="AH534" s="8"/>
      <c r="AI534" s="8"/>
      <c r="AJ534" s="8"/>
    </row>
    <row r="535" spans="1:36" ht="11.25" customHeight="1" x14ac:dyDescent="0.1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  <c r="AC535" s="8"/>
      <c r="AD535" s="8"/>
      <c r="AE535" s="8"/>
      <c r="AF535" s="8"/>
      <c r="AG535" s="9"/>
      <c r="AH535" s="8"/>
      <c r="AI535" s="8"/>
      <c r="AJ535" s="8"/>
    </row>
    <row r="536" spans="1:36" ht="11.25" customHeight="1" x14ac:dyDescent="0.1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  <c r="AC536" s="8"/>
      <c r="AD536" s="8"/>
      <c r="AE536" s="8"/>
      <c r="AF536" s="8"/>
      <c r="AG536" s="9"/>
      <c r="AH536" s="8"/>
      <c r="AI536" s="8"/>
      <c r="AJ536" s="8"/>
    </row>
    <row r="537" spans="1:36" ht="11.25" customHeight="1" x14ac:dyDescent="0.1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  <c r="AC537" s="8"/>
      <c r="AD537" s="8"/>
      <c r="AE537" s="8"/>
      <c r="AF537" s="8"/>
      <c r="AG537" s="9"/>
      <c r="AH537" s="8"/>
      <c r="AI537" s="8"/>
      <c r="AJ537" s="8"/>
    </row>
    <row r="538" spans="1:36" ht="11.25" customHeight="1" x14ac:dyDescent="0.1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  <c r="AC538" s="8"/>
      <c r="AD538" s="8"/>
      <c r="AE538" s="8"/>
      <c r="AF538" s="8"/>
      <c r="AG538" s="9"/>
      <c r="AH538" s="8"/>
      <c r="AI538" s="8"/>
      <c r="AJ538" s="8"/>
    </row>
    <row r="539" spans="1:36" ht="11.25" customHeight="1" x14ac:dyDescent="0.1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  <c r="AC539" s="8"/>
      <c r="AD539" s="8"/>
      <c r="AE539" s="8"/>
      <c r="AF539" s="8"/>
      <c r="AG539" s="9"/>
      <c r="AH539" s="8"/>
      <c r="AI539" s="8"/>
      <c r="AJ539" s="8"/>
    </row>
    <row r="540" spans="1:36" ht="11.25" customHeight="1" x14ac:dyDescent="0.1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  <c r="AC540" s="8"/>
      <c r="AD540" s="8"/>
      <c r="AE540" s="8"/>
      <c r="AF540" s="8"/>
      <c r="AG540" s="9"/>
      <c r="AH540" s="8"/>
      <c r="AI540" s="8"/>
      <c r="AJ540" s="8"/>
    </row>
    <row r="541" spans="1:36" ht="11.25" customHeight="1" x14ac:dyDescent="0.1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  <c r="AC541" s="8"/>
      <c r="AD541" s="8"/>
      <c r="AE541" s="8"/>
      <c r="AF541" s="8"/>
      <c r="AG541" s="9"/>
      <c r="AH541" s="8"/>
      <c r="AI541" s="8"/>
      <c r="AJ541" s="8"/>
    </row>
    <row r="542" spans="1:36" ht="11.25" customHeight="1" x14ac:dyDescent="0.1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  <c r="AC542" s="8"/>
      <c r="AD542" s="8"/>
      <c r="AE542" s="8"/>
      <c r="AF542" s="8"/>
      <c r="AG542" s="9"/>
      <c r="AH542" s="8"/>
      <c r="AI542" s="8"/>
      <c r="AJ542" s="8"/>
    </row>
    <row r="543" spans="1:36" ht="11.25" customHeight="1" x14ac:dyDescent="0.1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8"/>
      <c r="AF543" s="8"/>
      <c r="AG543" s="9"/>
      <c r="AH543" s="8"/>
      <c r="AI543" s="8"/>
      <c r="AJ543" s="8"/>
    </row>
    <row r="544" spans="1:36" ht="11.25" customHeight="1" x14ac:dyDescent="0.1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  <c r="AC544" s="8"/>
      <c r="AD544" s="8"/>
      <c r="AE544" s="8"/>
      <c r="AF544" s="8"/>
      <c r="AG544" s="9"/>
      <c r="AH544" s="8"/>
      <c r="AI544" s="8"/>
      <c r="AJ544" s="8"/>
    </row>
    <row r="545" spans="1:36" ht="11.25" customHeight="1" x14ac:dyDescent="0.1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  <c r="AC545" s="8"/>
      <c r="AD545" s="8"/>
      <c r="AE545" s="8"/>
      <c r="AF545" s="8"/>
      <c r="AG545" s="9"/>
      <c r="AH545" s="8"/>
      <c r="AI545" s="8"/>
      <c r="AJ545" s="8"/>
    </row>
    <row r="546" spans="1:36" ht="11.25" customHeight="1" x14ac:dyDescent="0.1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9"/>
      <c r="AH546" s="8"/>
      <c r="AI546" s="8"/>
      <c r="AJ546" s="8"/>
    </row>
    <row r="547" spans="1:36" ht="11.25" customHeight="1" x14ac:dyDescent="0.1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  <c r="AC547" s="8"/>
      <c r="AD547" s="8"/>
      <c r="AE547" s="8"/>
      <c r="AF547" s="8"/>
      <c r="AG547" s="9"/>
      <c r="AH547" s="8"/>
      <c r="AI547" s="8"/>
      <c r="AJ547" s="8"/>
    </row>
    <row r="548" spans="1:36" ht="11.25" customHeight="1" x14ac:dyDescent="0.1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9"/>
      <c r="AH548" s="8"/>
      <c r="AI548" s="8"/>
      <c r="AJ548" s="8"/>
    </row>
    <row r="549" spans="1:36" ht="11.25" customHeight="1" x14ac:dyDescent="0.1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  <c r="AC549" s="8"/>
      <c r="AD549" s="8"/>
      <c r="AE549" s="8"/>
      <c r="AF549" s="8"/>
      <c r="AG549" s="9"/>
      <c r="AH549" s="8"/>
      <c r="AI549" s="8"/>
      <c r="AJ549" s="8"/>
    </row>
    <row r="550" spans="1:36" ht="11.25" customHeight="1" x14ac:dyDescent="0.1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9"/>
      <c r="AH550" s="8"/>
      <c r="AI550" s="8"/>
      <c r="AJ550" s="8"/>
    </row>
    <row r="551" spans="1:36" ht="11.25" customHeight="1" x14ac:dyDescent="0.1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9"/>
      <c r="AH551" s="8"/>
      <c r="AI551" s="8"/>
      <c r="AJ551" s="8"/>
    </row>
    <row r="552" spans="1:36" ht="11.25" customHeight="1" x14ac:dyDescent="0.1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  <c r="AC552" s="8"/>
      <c r="AD552" s="8"/>
      <c r="AE552" s="8"/>
      <c r="AF552" s="8"/>
      <c r="AG552" s="9"/>
      <c r="AH552" s="8"/>
      <c r="AI552" s="8"/>
      <c r="AJ552" s="8"/>
    </row>
    <row r="553" spans="1:36" ht="11.25" customHeight="1" x14ac:dyDescent="0.1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  <c r="AC553" s="8"/>
      <c r="AD553" s="8"/>
      <c r="AE553" s="8"/>
      <c r="AF553" s="8"/>
      <c r="AG553" s="9"/>
      <c r="AH553" s="8"/>
      <c r="AI553" s="8"/>
      <c r="AJ553" s="8"/>
    </row>
    <row r="554" spans="1:36" ht="11.25" customHeight="1" x14ac:dyDescent="0.1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  <c r="AC554" s="8"/>
      <c r="AD554" s="8"/>
      <c r="AE554" s="8"/>
      <c r="AF554" s="8"/>
      <c r="AG554" s="9"/>
      <c r="AH554" s="8"/>
      <c r="AI554" s="8"/>
      <c r="AJ554" s="8"/>
    </row>
    <row r="555" spans="1:36" ht="11.25" customHeight="1" x14ac:dyDescent="0.1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  <c r="AC555" s="8"/>
      <c r="AD555" s="8"/>
      <c r="AE555" s="8"/>
      <c r="AF555" s="8"/>
      <c r="AG555" s="9"/>
      <c r="AH555" s="8"/>
      <c r="AI555" s="8"/>
      <c r="AJ555" s="8"/>
    </row>
    <row r="556" spans="1:36" ht="11.25" customHeight="1" x14ac:dyDescent="0.1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9"/>
      <c r="AH556" s="8"/>
      <c r="AI556" s="8"/>
      <c r="AJ556" s="8"/>
    </row>
    <row r="557" spans="1:36" ht="11.25" customHeight="1" x14ac:dyDescent="0.1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9"/>
      <c r="AH557" s="8"/>
      <c r="AI557" s="8"/>
      <c r="AJ557" s="8"/>
    </row>
    <row r="558" spans="1:36" ht="11.25" customHeight="1" x14ac:dyDescent="0.1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9"/>
      <c r="AH558" s="8"/>
      <c r="AI558" s="8"/>
      <c r="AJ558" s="8"/>
    </row>
    <row r="559" spans="1:36" ht="11.25" customHeight="1" x14ac:dyDescent="0.1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9"/>
      <c r="AH559" s="8"/>
      <c r="AI559" s="8"/>
      <c r="AJ559" s="8"/>
    </row>
    <row r="560" spans="1:36" ht="11.25" customHeight="1" x14ac:dyDescent="0.1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  <c r="AC560" s="8"/>
      <c r="AD560" s="8"/>
      <c r="AE560" s="8"/>
      <c r="AF560" s="8"/>
      <c r="AG560" s="9"/>
      <c r="AH560" s="8"/>
      <c r="AI560" s="8"/>
      <c r="AJ560" s="8"/>
    </row>
    <row r="561" spans="1:36" ht="11.25" customHeight="1" x14ac:dyDescent="0.1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9"/>
      <c r="AH561" s="8"/>
      <c r="AI561" s="8"/>
      <c r="AJ561" s="8"/>
    </row>
    <row r="562" spans="1:36" ht="11.25" customHeight="1" x14ac:dyDescent="0.1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  <c r="AC562" s="8"/>
      <c r="AD562" s="8"/>
      <c r="AE562" s="8"/>
      <c r="AF562" s="8"/>
      <c r="AG562" s="9"/>
      <c r="AH562" s="8"/>
      <c r="AI562" s="8"/>
      <c r="AJ562" s="8"/>
    </row>
    <row r="563" spans="1:36" ht="11.25" customHeight="1" x14ac:dyDescent="0.1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9"/>
      <c r="AH563" s="8"/>
      <c r="AI563" s="8"/>
      <c r="AJ563" s="8"/>
    </row>
    <row r="564" spans="1:36" ht="11.25" customHeight="1" x14ac:dyDescent="0.1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  <c r="AC564" s="8"/>
      <c r="AD564" s="8"/>
      <c r="AE564" s="8"/>
      <c r="AF564" s="8"/>
      <c r="AG564" s="9"/>
      <c r="AH564" s="8"/>
      <c r="AI564" s="8"/>
      <c r="AJ564" s="8"/>
    </row>
    <row r="565" spans="1:36" ht="11.25" customHeight="1" x14ac:dyDescent="0.1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  <c r="AC565" s="8"/>
      <c r="AD565" s="8"/>
      <c r="AE565" s="8"/>
      <c r="AF565" s="8"/>
      <c r="AG565" s="9"/>
      <c r="AH565" s="8"/>
      <c r="AI565" s="8"/>
      <c r="AJ565" s="8"/>
    </row>
    <row r="566" spans="1:36" ht="11.25" customHeight="1" x14ac:dyDescent="0.1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  <c r="AC566" s="8"/>
      <c r="AD566" s="8"/>
      <c r="AE566" s="8"/>
      <c r="AF566" s="8"/>
      <c r="AG566" s="9"/>
      <c r="AH566" s="8"/>
      <c r="AI566" s="8"/>
      <c r="AJ566" s="8"/>
    </row>
    <row r="567" spans="1:36" ht="11.25" customHeight="1" x14ac:dyDescent="0.1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  <c r="AC567" s="8"/>
      <c r="AD567" s="8"/>
      <c r="AE567" s="8"/>
      <c r="AF567" s="8"/>
      <c r="AG567" s="9"/>
      <c r="AH567" s="8"/>
      <c r="AI567" s="8"/>
      <c r="AJ567" s="8"/>
    </row>
    <row r="568" spans="1:36" ht="11.25" customHeight="1" x14ac:dyDescent="0.1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  <c r="AC568" s="8"/>
      <c r="AD568" s="8"/>
      <c r="AE568" s="8"/>
      <c r="AF568" s="8"/>
      <c r="AG568" s="9"/>
      <c r="AH568" s="8"/>
      <c r="AI568" s="8"/>
      <c r="AJ568" s="8"/>
    </row>
    <row r="569" spans="1:36" ht="11.25" customHeight="1" x14ac:dyDescent="0.1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  <c r="AC569" s="8"/>
      <c r="AD569" s="8"/>
      <c r="AE569" s="8"/>
      <c r="AF569" s="8"/>
      <c r="AG569" s="9"/>
      <c r="AH569" s="8"/>
      <c r="AI569" s="8"/>
      <c r="AJ569" s="8"/>
    </row>
    <row r="570" spans="1:36" ht="11.25" customHeight="1" x14ac:dyDescent="0.1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  <c r="AC570" s="8"/>
      <c r="AD570" s="8"/>
      <c r="AE570" s="8"/>
      <c r="AF570" s="8"/>
      <c r="AG570" s="9"/>
      <c r="AH570" s="8"/>
      <c r="AI570" s="8"/>
      <c r="AJ570" s="8"/>
    </row>
    <row r="571" spans="1:36" ht="11.25" customHeight="1" x14ac:dyDescent="0.1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  <c r="AC571" s="8"/>
      <c r="AD571" s="8"/>
      <c r="AE571" s="8"/>
      <c r="AF571" s="8"/>
      <c r="AG571" s="9"/>
      <c r="AH571" s="8"/>
      <c r="AI571" s="8"/>
      <c r="AJ571" s="8"/>
    </row>
    <row r="572" spans="1:36" ht="11.25" customHeight="1" x14ac:dyDescent="0.1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  <c r="AC572" s="8"/>
      <c r="AD572" s="8"/>
      <c r="AE572" s="8"/>
      <c r="AF572" s="8"/>
      <c r="AG572" s="9"/>
      <c r="AH572" s="8"/>
      <c r="AI572" s="8"/>
      <c r="AJ572" s="8"/>
    </row>
    <row r="573" spans="1:36" ht="11.25" customHeight="1" x14ac:dyDescent="0.1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  <c r="AC573" s="8"/>
      <c r="AD573" s="8"/>
      <c r="AE573" s="8"/>
      <c r="AF573" s="8"/>
      <c r="AG573" s="9"/>
      <c r="AH573" s="8"/>
      <c r="AI573" s="8"/>
      <c r="AJ573" s="8"/>
    </row>
    <row r="574" spans="1:36" ht="11.25" customHeight="1" x14ac:dyDescent="0.1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9"/>
      <c r="AH574" s="8"/>
      <c r="AI574" s="8"/>
      <c r="AJ574" s="8"/>
    </row>
    <row r="575" spans="1:36" ht="11.25" customHeight="1" x14ac:dyDescent="0.1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9"/>
      <c r="AH575" s="8"/>
      <c r="AI575" s="8"/>
      <c r="AJ575" s="8"/>
    </row>
    <row r="576" spans="1:36" ht="11.25" customHeight="1" x14ac:dyDescent="0.1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  <c r="AC576" s="8"/>
      <c r="AD576" s="8"/>
      <c r="AE576" s="8"/>
      <c r="AF576" s="8"/>
      <c r="AG576" s="9"/>
      <c r="AH576" s="8"/>
      <c r="AI576" s="8"/>
      <c r="AJ576" s="8"/>
    </row>
    <row r="577" spans="1:36" ht="11.25" customHeight="1" x14ac:dyDescent="0.1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9"/>
      <c r="AH577" s="8"/>
      <c r="AI577" s="8"/>
      <c r="AJ577" s="8"/>
    </row>
    <row r="578" spans="1:36" ht="11.25" customHeight="1" x14ac:dyDescent="0.1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  <c r="AC578" s="8"/>
      <c r="AD578" s="8"/>
      <c r="AE578" s="8"/>
      <c r="AF578" s="8"/>
      <c r="AG578" s="9"/>
      <c r="AH578" s="8"/>
      <c r="AI578" s="8"/>
      <c r="AJ578" s="8"/>
    </row>
    <row r="579" spans="1:36" ht="11.25" customHeight="1" x14ac:dyDescent="0.1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9"/>
      <c r="AH579" s="8"/>
      <c r="AI579" s="8"/>
      <c r="AJ579" s="8"/>
    </row>
    <row r="580" spans="1:36" ht="11.25" customHeight="1" x14ac:dyDescent="0.1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  <c r="AC580" s="8"/>
      <c r="AD580" s="8"/>
      <c r="AE580" s="8"/>
      <c r="AF580" s="8"/>
      <c r="AG580" s="9"/>
      <c r="AH580" s="8"/>
      <c r="AI580" s="8"/>
      <c r="AJ580" s="8"/>
    </row>
    <row r="581" spans="1:36" ht="11.25" customHeight="1" x14ac:dyDescent="0.1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  <c r="AC581" s="8"/>
      <c r="AD581" s="8"/>
      <c r="AE581" s="8"/>
      <c r="AF581" s="8"/>
      <c r="AG581" s="9"/>
      <c r="AH581" s="8"/>
      <c r="AI581" s="8"/>
      <c r="AJ581" s="8"/>
    </row>
    <row r="582" spans="1:36" ht="11.25" customHeight="1" x14ac:dyDescent="0.1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  <c r="AC582" s="8"/>
      <c r="AD582" s="8"/>
      <c r="AE582" s="8"/>
      <c r="AF582" s="8"/>
      <c r="AG582" s="9"/>
      <c r="AH582" s="8"/>
      <c r="AI582" s="8"/>
      <c r="AJ582" s="8"/>
    </row>
    <row r="583" spans="1:36" ht="11.25" customHeight="1" x14ac:dyDescent="0.1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  <c r="AC583" s="8"/>
      <c r="AD583" s="8"/>
      <c r="AE583" s="8"/>
      <c r="AF583" s="8"/>
      <c r="AG583" s="9"/>
      <c r="AH583" s="8"/>
      <c r="AI583" s="8"/>
      <c r="AJ583" s="8"/>
    </row>
    <row r="584" spans="1:36" ht="11.25" customHeight="1" x14ac:dyDescent="0.1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9"/>
      <c r="AH584" s="8"/>
      <c r="AI584" s="8"/>
      <c r="AJ584" s="8"/>
    </row>
    <row r="585" spans="1:36" ht="11.25" customHeight="1" x14ac:dyDescent="0.1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9"/>
      <c r="AH585" s="8"/>
      <c r="AI585" s="8"/>
      <c r="AJ585" s="8"/>
    </row>
    <row r="586" spans="1:36" ht="11.25" customHeight="1" x14ac:dyDescent="0.1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  <c r="AC586" s="8"/>
      <c r="AD586" s="8"/>
      <c r="AE586" s="8"/>
      <c r="AF586" s="8"/>
      <c r="AG586" s="9"/>
      <c r="AH586" s="8"/>
      <c r="AI586" s="8"/>
      <c r="AJ586" s="8"/>
    </row>
    <row r="587" spans="1:36" ht="11.25" customHeight="1" x14ac:dyDescent="0.1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9"/>
      <c r="AH587" s="8"/>
      <c r="AI587" s="8"/>
      <c r="AJ587" s="8"/>
    </row>
    <row r="588" spans="1:36" ht="11.25" customHeight="1" x14ac:dyDescent="0.1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  <c r="AC588" s="8"/>
      <c r="AD588" s="8"/>
      <c r="AE588" s="8"/>
      <c r="AF588" s="8"/>
      <c r="AG588" s="9"/>
      <c r="AH588" s="8"/>
      <c r="AI588" s="8"/>
      <c r="AJ588" s="8"/>
    </row>
    <row r="589" spans="1:36" ht="11.25" customHeight="1" x14ac:dyDescent="0.1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  <c r="AC589" s="8"/>
      <c r="AD589" s="8"/>
      <c r="AE589" s="8"/>
      <c r="AF589" s="8"/>
      <c r="AG589" s="9"/>
      <c r="AH589" s="8"/>
      <c r="AI589" s="8"/>
      <c r="AJ589" s="8"/>
    </row>
    <row r="590" spans="1:36" ht="11.25" customHeight="1" x14ac:dyDescent="0.1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  <c r="AC590" s="8"/>
      <c r="AD590" s="8"/>
      <c r="AE590" s="8"/>
      <c r="AF590" s="8"/>
      <c r="AG590" s="9"/>
      <c r="AH590" s="8"/>
      <c r="AI590" s="8"/>
      <c r="AJ590" s="8"/>
    </row>
    <row r="591" spans="1:36" ht="11.25" customHeight="1" x14ac:dyDescent="0.1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  <c r="AC591" s="8"/>
      <c r="AD591" s="8"/>
      <c r="AE591" s="8"/>
      <c r="AF591" s="8"/>
      <c r="AG591" s="9"/>
      <c r="AH591" s="8"/>
      <c r="AI591" s="8"/>
      <c r="AJ591" s="8"/>
    </row>
    <row r="592" spans="1:36" ht="11.25" customHeight="1" x14ac:dyDescent="0.1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  <c r="AC592" s="8"/>
      <c r="AD592" s="8"/>
      <c r="AE592" s="8"/>
      <c r="AF592" s="8"/>
      <c r="AG592" s="9"/>
      <c r="AH592" s="8"/>
      <c r="AI592" s="8"/>
      <c r="AJ592" s="8"/>
    </row>
    <row r="593" spans="1:36" ht="11.25" customHeight="1" x14ac:dyDescent="0.1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  <c r="AC593" s="8"/>
      <c r="AD593" s="8"/>
      <c r="AE593" s="8"/>
      <c r="AF593" s="8"/>
      <c r="AG593" s="9"/>
      <c r="AH593" s="8"/>
      <c r="AI593" s="8"/>
      <c r="AJ593" s="8"/>
    </row>
    <row r="594" spans="1:36" ht="11.25" customHeight="1" x14ac:dyDescent="0.1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  <c r="AC594" s="8"/>
      <c r="AD594" s="8"/>
      <c r="AE594" s="8"/>
      <c r="AF594" s="8"/>
      <c r="AG594" s="9"/>
      <c r="AH594" s="8"/>
      <c r="AI594" s="8"/>
      <c r="AJ594" s="8"/>
    </row>
    <row r="595" spans="1:36" ht="11.25" customHeight="1" x14ac:dyDescent="0.1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9"/>
      <c r="AH595" s="8"/>
      <c r="AI595" s="8"/>
      <c r="AJ595" s="8"/>
    </row>
    <row r="596" spans="1:36" ht="11.25" customHeight="1" x14ac:dyDescent="0.1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  <c r="AC596" s="8"/>
      <c r="AD596" s="8"/>
      <c r="AE596" s="8"/>
      <c r="AF596" s="8"/>
      <c r="AG596" s="9"/>
      <c r="AH596" s="8"/>
      <c r="AI596" s="8"/>
      <c r="AJ596" s="8"/>
    </row>
    <row r="597" spans="1:36" ht="11.25" customHeight="1" x14ac:dyDescent="0.1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  <c r="AC597" s="8"/>
      <c r="AD597" s="8"/>
      <c r="AE597" s="8"/>
      <c r="AF597" s="8"/>
      <c r="AG597" s="9"/>
      <c r="AH597" s="8"/>
      <c r="AI597" s="8"/>
      <c r="AJ597" s="8"/>
    </row>
    <row r="598" spans="1:36" ht="11.25" customHeight="1" x14ac:dyDescent="0.1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  <c r="AC598" s="8"/>
      <c r="AD598" s="8"/>
      <c r="AE598" s="8"/>
      <c r="AF598" s="8"/>
      <c r="AG598" s="9"/>
      <c r="AH598" s="8"/>
      <c r="AI598" s="8"/>
      <c r="AJ598" s="8"/>
    </row>
    <row r="599" spans="1:36" ht="11.25" customHeight="1" x14ac:dyDescent="0.1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  <c r="AC599" s="8"/>
      <c r="AD599" s="8"/>
      <c r="AE599" s="8"/>
      <c r="AF599" s="8"/>
      <c r="AG599" s="9"/>
      <c r="AH599" s="8"/>
      <c r="AI599" s="8"/>
      <c r="AJ599" s="8"/>
    </row>
    <row r="600" spans="1:36" ht="11.25" customHeight="1" x14ac:dyDescent="0.1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  <c r="AC600" s="8"/>
      <c r="AD600" s="8"/>
      <c r="AE600" s="8"/>
      <c r="AF600" s="8"/>
      <c r="AG600" s="9"/>
      <c r="AH600" s="8"/>
      <c r="AI600" s="8"/>
      <c r="AJ600" s="8"/>
    </row>
    <row r="601" spans="1:36" ht="11.25" customHeight="1" x14ac:dyDescent="0.1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  <c r="AC601" s="8"/>
      <c r="AD601" s="8"/>
      <c r="AE601" s="8"/>
      <c r="AF601" s="8"/>
      <c r="AG601" s="9"/>
      <c r="AH601" s="8"/>
      <c r="AI601" s="8"/>
      <c r="AJ601" s="8"/>
    </row>
    <row r="602" spans="1:36" ht="11.25" customHeight="1" x14ac:dyDescent="0.1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  <c r="AC602" s="8"/>
      <c r="AD602" s="8"/>
      <c r="AE602" s="8"/>
      <c r="AF602" s="8"/>
      <c r="AG602" s="9"/>
      <c r="AH602" s="8"/>
      <c r="AI602" s="8"/>
      <c r="AJ602" s="8"/>
    </row>
    <row r="603" spans="1:36" ht="11.25" customHeight="1" x14ac:dyDescent="0.1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  <c r="AC603" s="8"/>
      <c r="AD603" s="8"/>
      <c r="AE603" s="8"/>
      <c r="AF603" s="8"/>
      <c r="AG603" s="9"/>
      <c r="AH603" s="8"/>
      <c r="AI603" s="8"/>
      <c r="AJ603" s="8"/>
    </row>
    <row r="604" spans="1:36" ht="11.25" customHeight="1" x14ac:dyDescent="0.1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  <c r="AC604" s="8"/>
      <c r="AD604" s="8"/>
      <c r="AE604" s="8"/>
      <c r="AF604" s="8"/>
      <c r="AG604" s="9"/>
      <c r="AH604" s="8"/>
      <c r="AI604" s="8"/>
      <c r="AJ604" s="8"/>
    </row>
    <row r="605" spans="1:36" ht="11.25" customHeight="1" x14ac:dyDescent="0.1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  <c r="AC605" s="8"/>
      <c r="AD605" s="8"/>
      <c r="AE605" s="8"/>
      <c r="AF605" s="8"/>
      <c r="AG605" s="9"/>
      <c r="AH605" s="8"/>
      <c r="AI605" s="8"/>
      <c r="AJ605" s="8"/>
    </row>
    <row r="606" spans="1:36" ht="11.25" customHeight="1" x14ac:dyDescent="0.1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  <c r="AC606" s="8"/>
      <c r="AD606" s="8"/>
      <c r="AE606" s="8"/>
      <c r="AF606" s="8"/>
      <c r="AG606" s="9"/>
      <c r="AH606" s="8"/>
      <c r="AI606" s="8"/>
      <c r="AJ606" s="8"/>
    </row>
    <row r="607" spans="1:36" ht="11.25" customHeight="1" x14ac:dyDescent="0.1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  <c r="AC607" s="8"/>
      <c r="AD607" s="8"/>
      <c r="AE607" s="8"/>
      <c r="AF607" s="8"/>
      <c r="AG607" s="9"/>
      <c r="AH607" s="8"/>
      <c r="AI607" s="8"/>
      <c r="AJ607" s="8"/>
    </row>
    <row r="608" spans="1:36" ht="11.25" customHeight="1" x14ac:dyDescent="0.1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  <c r="AC608" s="8"/>
      <c r="AD608" s="8"/>
      <c r="AE608" s="8"/>
      <c r="AF608" s="8"/>
      <c r="AG608" s="9"/>
      <c r="AH608" s="8"/>
      <c r="AI608" s="8"/>
      <c r="AJ608" s="8"/>
    </row>
    <row r="609" spans="1:36" ht="11.25" customHeight="1" x14ac:dyDescent="0.1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  <c r="AC609" s="8"/>
      <c r="AD609" s="8"/>
      <c r="AE609" s="8"/>
      <c r="AF609" s="8"/>
      <c r="AG609" s="9"/>
      <c r="AH609" s="8"/>
      <c r="AI609" s="8"/>
      <c r="AJ609" s="8"/>
    </row>
    <row r="610" spans="1:36" ht="11.25" customHeight="1" x14ac:dyDescent="0.1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  <c r="AC610" s="8"/>
      <c r="AD610" s="8"/>
      <c r="AE610" s="8"/>
      <c r="AF610" s="8"/>
      <c r="AG610" s="9"/>
      <c r="AH610" s="8"/>
      <c r="AI610" s="8"/>
      <c r="AJ610" s="8"/>
    </row>
    <row r="611" spans="1:36" ht="11.25" customHeight="1" x14ac:dyDescent="0.1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  <c r="AC611" s="8"/>
      <c r="AD611" s="8"/>
      <c r="AE611" s="8"/>
      <c r="AF611" s="8"/>
      <c r="AG611" s="9"/>
      <c r="AH611" s="8"/>
      <c r="AI611" s="8"/>
      <c r="AJ611" s="8"/>
    </row>
    <row r="612" spans="1:36" ht="11.25" customHeight="1" x14ac:dyDescent="0.1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9"/>
      <c r="AH612" s="8"/>
      <c r="AI612" s="8"/>
      <c r="AJ612" s="8"/>
    </row>
    <row r="613" spans="1:36" ht="11.25" customHeight="1" x14ac:dyDescent="0.1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9"/>
      <c r="AH613" s="8"/>
      <c r="AI613" s="8"/>
      <c r="AJ613" s="8"/>
    </row>
    <row r="614" spans="1:36" ht="11.25" customHeight="1" x14ac:dyDescent="0.1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  <c r="AC614" s="8"/>
      <c r="AD614" s="8"/>
      <c r="AE614" s="8"/>
      <c r="AF614" s="8"/>
      <c r="AG614" s="9"/>
      <c r="AH614" s="8"/>
      <c r="AI614" s="8"/>
      <c r="AJ614" s="8"/>
    </row>
    <row r="615" spans="1:36" ht="11.25" customHeight="1" x14ac:dyDescent="0.1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9"/>
      <c r="AH615" s="8"/>
      <c r="AI615" s="8"/>
      <c r="AJ615" s="8"/>
    </row>
    <row r="616" spans="1:36" ht="11.25" customHeight="1" x14ac:dyDescent="0.1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9"/>
      <c r="AH616" s="8"/>
      <c r="AI616" s="8"/>
      <c r="AJ616" s="8"/>
    </row>
    <row r="617" spans="1:36" ht="11.25" customHeight="1" x14ac:dyDescent="0.1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9"/>
      <c r="AH617" s="8"/>
      <c r="AI617" s="8"/>
      <c r="AJ617" s="8"/>
    </row>
    <row r="618" spans="1:36" ht="11.25" customHeight="1" x14ac:dyDescent="0.1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  <c r="AC618" s="8"/>
      <c r="AD618" s="8"/>
      <c r="AE618" s="8"/>
      <c r="AF618" s="8"/>
      <c r="AG618" s="9"/>
      <c r="AH618" s="8"/>
      <c r="AI618" s="8"/>
      <c r="AJ618" s="8"/>
    </row>
    <row r="619" spans="1:36" ht="11.25" customHeight="1" x14ac:dyDescent="0.1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9"/>
      <c r="AH619" s="8"/>
      <c r="AI619" s="8"/>
      <c r="AJ619" s="8"/>
    </row>
    <row r="620" spans="1:36" ht="11.25" customHeight="1" x14ac:dyDescent="0.1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  <c r="AC620" s="8"/>
      <c r="AD620" s="8"/>
      <c r="AE620" s="8"/>
      <c r="AF620" s="8"/>
      <c r="AG620" s="9"/>
      <c r="AH620" s="8"/>
      <c r="AI620" s="8"/>
      <c r="AJ620" s="8"/>
    </row>
    <row r="621" spans="1:36" ht="11.25" customHeight="1" x14ac:dyDescent="0.1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  <c r="AC621" s="8"/>
      <c r="AD621" s="8"/>
      <c r="AE621" s="8"/>
      <c r="AF621" s="8"/>
      <c r="AG621" s="9"/>
      <c r="AH621" s="8"/>
      <c r="AI621" s="8"/>
      <c r="AJ621" s="8"/>
    </row>
    <row r="622" spans="1:36" ht="11.25" customHeight="1" x14ac:dyDescent="0.1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  <c r="AC622" s="8"/>
      <c r="AD622" s="8"/>
      <c r="AE622" s="8"/>
      <c r="AF622" s="8"/>
      <c r="AG622" s="9"/>
      <c r="AH622" s="8"/>
      <c r="AI622" s="8"/>
      <c r="AJ622" s="8"/>
    </row>
    <row r="623" spans="1:36" ht="11.25" customHeight="1" x14ac:dyDescent="0.1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  <c r="AC623" s="8"/>
      <c r="AD623" s="8"/>
      <c r="AE623" s="8"/>
      <c r="AF623" s="8"/>
      <c r="AG623" s="9"/>
      <c r="AH623" s="8"/>
      <c r="AI623" s="8"/>
      <c r="AJ623" s="8"/>
    </row>
    <row r="624" spans="1:36" ht="11.25" customHeight="1" x14ac:dyDescent="0.1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9"/>
      <c r="AH624" s="8"/>
      <c r="AI624" s="8"/>
      <c r="AJ624" s="8"/>
    </row>
    <row r="625" spans="1:36" ht="11.25" customHeight="1" x14ac:dyDescent="0.1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  <c r="AC625" s="8"/>
      <c r="AD625" s="8"/>
      <c r="AE625" s="8"/>
      <c r="AF625" s="8"/>
      <c r="AG625" s="9"/>
      <c r="AH625" s="8"/>
      <c r="AI625" s="8"/>
      <c r="AJ625" s="8"/>
    </row>
    <row r="626" spans="1:36" ht="11.25" customHeight="1" x14ac:dyDescent="0.1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9"/>
      <c r="AH626" s="8"/>
      <c r="AI626" s="8"/>
      <c r="AJ626" s="8"/>
    </row>
    <row r="627" spans="1:36" ht="11.25" customHeight="1" x14ac:dyDescent="0.1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9"/>
      <c r="AH627" s="8"/>
      <c r="AI627" s="8"/>
      <c r="AJ627" s="8"/>
    </row>
    <row r="628" spans="1:36" ht="11.25" customHeight="1" x14ac:dyDescent="0.1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9"/>
      <c r="AH628" s="8"/>
      <c r="AI628" s="8"/>
      <c r="AJ628" s="8"/>
    </row>
    <row r="629" spans="1:36" ht="11.25" customHeight="1" x14ac:dyDescent="0.1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9"/>
      <c r="AH629" s="8"/>
      <c r="AI629" s="8"/>
      <c r="AJ629" s="8"/>
    </row>
    <row r="630" spans="1:36" ht="11.25" customHeight="1" x14ac:dyDescent="0.1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  <c r="AC630" s="8"/>
      <c r="AD630" s="8"/>
      <c r="AE630" s="8"/>
      <c r="AF630" s="8"/>
      <c r="AG630" s="9"/>
      <c r="AH630" s="8"/>
      <c r="AI630" s="8"/>
      <c r="AJ630" s="8"/>
    </row>
    <row r="631" spans="1:36" ht="11.25" customHeight="1" x14ac:dyDescent="0.1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9"/>
      <c r="AH631" s="8"/>
      <c r="AI631" s="8"/>
      <c r="AJ631" s="8"/>
    </row>
    <row r="632" spans="1:36" ht="11.25" customHeight="1" x14ac:dyDescent="0.1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9"/>
      <c r="AH632" s="8"/>
      <c r="AI632" s="8"/>
      <c r="AJ632" s="8"/>
    </row>
    <row r="633" spans="1:36" ht="11.25" customHeight="1" x14ac:dyDescent="0.1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9"/>
      <c r="AH633" s="8"/>
      <c r="AI633" s="8"/>
      <c r="AJ633" s="8"/>
    </row>
    <row r="634" spans="1:36" ht="11.25" customHeight="1" x14ac:dyDescent="0.1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  <c r="AC634" s="8"/>
      <c r="AD634" s="8"/>
      <c r="AE634" s="8"/>
      <c r="AF634" s="8"/>
      <c r="AG634" s="9"/>
      <c r="AH634" s="8"/>
      <c r="AI634" s="8"/>
      <c r="AJ634" s="8"/>
    </row>
    <row r="635" spans="1:36" ht="11.25" customHeight="1" x14ac:dyDescent="0.1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9"/>
      <c r="AH635" s="8"/>
      <c r="AI635" s="8"/>
      <c r="AJ635" s="8"/>
    </row>
    <row r="636" spans="1:36" ht="11.25" customHeight="1" x14ac:dyDescent="0.1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9"/>
      <c r="AH636" s="8"/>
      <c r="AI636" s="8"/>
      <c r="AJ636" s="8"/>
    </row>
    <row r="637" spans="1:36" ht="11.25" customHeight="1" x14ac:dyDescent="0.1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  <c r="AC637" s="8"/>
      <c r="AD637" s="8"/>
      <c r="AE637" s="8"/>
      <c r="AF637" s="8"/>
      <c r="AG637" s="9"/>
      <c r="AH637" s="8"/>
      <c r="AI637" s="8"/>
      <c r="AJ637" s="8"/>
    </row>
    <row r="638" spans="1:36" ht="11.25" customHeight="1" x14ac:dyDescent="0.1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  <c r="AC638" s="8"/>
      <c r="AD638" s="8"/>
      <c r="AE638" s="8"/>
      <c r="AF638" s="8"/>
      <c r="AG638" s="9"/>
      <c r="AH638" s="8"/>
      <c r="AI638" s="8"/>
      <c r="AJ638" s="8"/>
    </row>
    <row r="639" spans="1:36" ht="11.25" customHeight="1" x14ac:dyDescent="0.1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  <c r="AC639" s="8"/>
      <c r="AD639" s="8"/>
      <c r="AE639" s="8"/>
      <c r="AF639" s="8"/>
      <c r="AG639" s="9"/>
      <c r="AH639" s="8"/>
      <c r="AI639" s="8"/>
      <c r="AJ639" s="8"/>
    </row>
    <row r="640" spans="1:36" ht="11.25" customHeight="1" x14ac:dyDescent="0.1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  <c r="AC640" s="8"/>
      <c r="AD640" s="8"/>
      <c r="AE640" s="8"/>
      <c r="AF640" s="8"/>
      <c r="AG640" s="9"/>
      <c r="AH640" s="8"/>
      <c r="AI640" s="8"/>
      <c r="AJ640" s="8"/>
    </row>
    <row r="641" spans="1:36" ht="11.25" customHeight="1" x14ac:dyDescent="0.1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  <c r="AC641" s="8"/>
      <c r="AD641" s="8"/>
      <c r="AE641" s="8"/>
      <c r="AF641" s="8"/>
      <c r="AG641" s="9"/>
      <c r="AH641" s="8"/>
      <c r="AI641" s="8"/>
      <c r="AJ641" s="8"/>
    </row>
    <row r="642" spans="1:36" ht="11.25" customHeight="1" x14ac:dyDescent="0.1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  <c r="AC642" s="8"/>
      <c r="AD642" s="8"/>
      <c r="AE642" s="8"/>
      <c r="AF642" s="8"/>
      <c r="AG642" s="9"/>
      <c r="AH642" s="8"/>
      <c r="AI642" s="8"/>
      <c r="AJ642" s="8"/>
    </row>
    <row r="643" spans="1:36" ht="11.25" customHeight="1" x14ac:dyDescent="0.1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  <c r="AC643" s="8"/>
      <c r="AD643" s="8"/>
      <c r="AE643" s="8"/>
      <c r="AF643" s="8"/>
      <c r="AG643" s="9"/>
      <c r="AH643" s="8"/>
      <c r="AI643" s="8"/>
      <c r="AJ643" s="8"/>
    </row>
    <row r="644" spans="1:36" ht="11.25" customHeight="1" x14ac:dyDescent="0.1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9"/>
      <c r="AH644" s="8"/>
      <c r="AI644" s="8"/>
      <c r="AJ644" s="8"/>
    </row>
    <row r="645" spans="1:36" ht="11.25" customHeight="1" x14ac:dyDescent="0.1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9"/>
      <c r="AH645" s="8"/>
      <c r="AI645" s="8"/>
      <c r="AJ645" s="8"/>
    </row>
    <row r="646" spans="1:36" ht="11.25" customHeight="1" x14ac:dyDescent="0.1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  <c r="AC646" s="8"/>
      <c r="AD646" s="8"/>
      <c r="AE646" s="8"/>
      <c r="AF646" s="8"/>
      <c r="AG646" s="9"/>
      <c r="AH646" s="8"/>
      <c r="AI646" s="8"/>
      <c r="AJ646" s="8"/>
    </row>
    <row r="647" spans="1:36" ht="11.25" customHeight="1" x14ac:dyDescent="0.1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9"/>
      <c r="AH647" s="8"/>
      <c r="AI647" s="8"/>
      <c r="AJ647" s="8"/>
    </row>
    <row r="648" spans="1:36" ht="11.25" customHeight="1" x14ac:dyDescent="0.1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9"/>
      <c r="AH648" s="8"/>
      <c r="AI648" s="8"/>
      <c r="AJ648" s="8"/>
    </row>
    <row r="649" spans="1:36" ht="11.25" customHeight="1" x14ac:dyDescent="0.1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  <c r="AC649" s="8"/>
      <c r="AD649" s="8"/>
      <c r="AE649" s="8"/>
      <c r="AF649" s="8"/>
      <c r="AG649" s="9"/>
      <c r="AH649" s="8"/>
      <c r="AI649" s="8"/>
      <c r="AJ649" s="8"/>
    </row>
    <row r="650" spans="1:36" ht="11.25" customHeight="1" x14ac:dyDescent="0.1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  <c r="AC650" s="8"/>
      <c r="AD650" s="8"/>
      <c r="AE650" s="8"/>
      <c r="AF650" s="8"/>
      <c r="AG650" s="9"/>
      <c r="AH650" s="8"/>
      <c r="AI650" s="8"/>
      <c r="AJ650" s="8"/>
    </row>
    <row r="651" spans="1:36" ht="11.25" customHeight="1" x14ac:dyDescent="0.1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  <c r="AC651" s="8"/>
      <c r="AD651" s="8"/>
      <c r="AE651" s="8"/>
      <c r="AF651" s="8"/>
      <c r="AG651" s="9"/>
      <c r="AH651" s="8"/>
      <c r="AI651" s="8"/>
      <c r="AJ651" s="8"/>
    </row>
    <row r="652" spans="1:36" ht="11.25" customHeight="1" x14ac:dyDescent="0.1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  <c r="AC652" s="8"/>
      <c r="AD652" s="8"/>
      <c r="AE652" s="8"/>
      <c r="AF652" s="8"/>
      <c r="AG652" s="9"/>
      <c r="AH652" s="8"/>
      <c r="AI652" s="8"/>
      <c r="AJ652" s="8"/>
    </row>
    <row r="653" spans="1:36" ht="11.25" customHeight="1" x14ac:dyDescent="0.1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  <c r="AC653" s="8"/>
      <c r="AD653" s="8"/>
      <c r="AE653" s="8"/>
      <c r="AF653" s="8"/>
      <c r="AG653" s="9"/>
      <c r="AH653" s="8"/>
      <c r="AI653" s="8"/>
      <c r="AJ653" s="8"/>
    </row>
    <row r="654" spans="1:36" ht="11.25" customHeight="1" x14ac:dyDescent="0.1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  <c r="AC654" s="8"/>
      <c r="AD654" s="8"/>
      <c r="AE654" s="8"/>
      <c r="AF654" s="8"/>
      <c r="AG654" s="9"/>
      <c r="AH654" s="8"/>
      <c r="AI654" s="8"/>
      <c r="AJ654" s="8"/>
    </row>
    <row r="655" spans="1:36" ht="11.25" customHeight="1" x14ac:dyDescent="0.1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  <c r="AC655" s="8"/>
      <c r="AD655" s="8"/>
      <c r="AE655" s="8"/>
      <c r="AF655" s="8"/>
      <c r="AG655" s="9"/>
      <c r="AH655" s="8"/>
      <c r="AI655" s="8"/>
      <c r="AJ655" s="8"/>
    </row>
    <row r="656" spans="1:36" ht="11.25" customHeight="1" x14ac:dyDescent="0.1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  <c r="AC656" s="8"/>
      <c r="AD656" s="8"/>
      <c r="AE656" s="8"/>
      <c r="AF656" s="8"/>
      <c r="AG656" s="9"/>
      <c r="AH656" s="8"/>
      <c r="AI656" s="8"/>
      <c r="AJ656" s="8"/>
    </row>
    <row r="657" spans="1:36" ht="11.25" customHeight="1" x14ac:dyDescent="0.1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  <c r="AC657" s="8"/>
      <c r="AD657" s="8"/>
      <c r="AE657" s="8"/>
      <c r="AF657" s="8"/>
      <c r="AG657" s="9"/>
      <c r="AH657" s="8"/>
      <c r="AI657" s="8"/>
      <c r="AJ657" s="8"/>
    </row>
    <row r="658" spans="1:36" ht="11.25" customHeight="1" x14ac:dyDescent="0.1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  <c r="AC658" s="8"/>
      <c r="AD658" s="8"/>
      <c r="AE658" s="8"/>
      <c r="AF658" s="8"/>
      <c r="AG658" s="9"/>
      <c r="AH658" s="8"/>
      <c r="AI658" s="8"/>
      <c r="AJ658" s="8"/>
    </row>
    <row r="659" spans="1:36" ht="11.25" customHeight="1" x14ac:dyDescent="0.1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  <c r="AC659" s="8"/>
      <c r="AD659" s="8"/>
      <c r="AE659" s="8"/>
      <c r="AF659" s="8"/>
      <c r="AG659" s="9"/>
      <c r="AH659" s="8"/>
      <c r="AI659" s="8"/>
      <c r="AJ659" s="8"/>
    </row>
    <row r="660" spans="1:36" ht="11.25" customHeight="1" x14ac:dyDescent="0.1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  <c r="AC660" s="8"/>
      <c r="AD660" s="8"/>
      <c r="AE660" s="8"/>
      <c r="AF660" s="8"/>
      <c r="AG660" s="9"/>
      <c r="AH660" s="8"/>
      <c r="AI660" s="8"/>
      <c r="AJ660" s="8"/>
    </row>
    <row r="661" spans="1:36" ht="11.25" customHeight="1" x14ac:dyDescent="0.1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  <c r="AC661" s="8"/>
      <c r="AD661" s="8"/>
      <c r="AE661" s="8"/>
      <c r="AF661" s="8"/>
      <c r="AG661" s="9"/>
      <c r="AH661" s="8"/>
      <c r="AI661" s="8"/>
      <c r="AJ661" s="8"/>
    </row>
    <row r="662" spans="1:36" ht="11.25" customHeight="1" x14ac:dyDescent="0.1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  <c r="AC662" s="8"/>
      <c r="AD662" s="8"/>
      <c r="AE662" s="8"/>
      <c r="AF662" s="8"/>
      <c r="AG662" s="9"/>
      <c r="AH662" s="8"/>
      <c r="AI662" s="8"/>
      <c r="AJ662" s="8"/>
    </row>
    <row r="663" spans="1:36" ht="11.25" customHeight="1" x14ac:dyDescent="0.1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  <c r="AC663" s="8"/>
      <c r="AD663" s="8"/>
      <c r="AE663" s="8"/>
      <c r="AF663" s="8"/>
      <c r="AG663" s="9"/>
      <c r="AH663" s="8"/>
      <c r="AI663" s="8"/>
      <c r="AJ663" s="8"/>
    </row>
    <row r="664" spans="1:36" ht="11.25" customHeight="1" x14ac:dyDescent="0.1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  <c r="AC664" s="8"/>
      <c r="AD664" s="8"/>
      <c r="AE664" s="8"/>
      <c r="AF664" s="8"/>
      <c r="AG664" s="9"/>
      <c r="AH664" s="8"/>
      <c r="AI664" s="8"/>
      <c r="AJ664" s="8"/>
    </row>
    <row r="665" spans="1:36" ht="11.25" customHeight="1" x14ac:dyDescent="0.1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  <c r="AC665" s="8"/>
      <c r="AD665" s="8"/>
      <c r="AE665" s="8"/>
      <c r="AF665" s="8"/>
      <c r="AG665" s="9"/>
      <c r="AH665" s="8"/>
      <c r="AI665" s="8"/>
      <c r="AJ665" s="8"/>
    </row>
    <row r="666" spans="1:36" ht="11.25" customHeight="1" x14ac:dyDescent="0.1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  <c r="AC666" s="8"/>
      <c r="AD666" s="8"/>
      <c r="AE666" s="8"/>
      <c r="AF666" s="8"/>
      <c r="AG666" s="9"/>
      <c r="AH666" s="8"/>
      <c r="AI666" s="8"/>
      <c r="AJ666" s="8"/>
    </row>
    <row r="667" spans="1:36" ht="11.25" customHeight="1" x14ac:dyDescent="0.1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  <c r="AC667" s="8"/>
      <c r="AD667" s="8"/>
      <c r="AE667" s="8"/>
      <c r="AF667" s="8"/>
      <c r="AG667" s="9"/>
      <c r="AH667" s="8"/>
      <c r="AI667" s="8"/>
      <c r="AJ667" s="8"/>
    </row>
    <row r="668" spans="1:36" ht="11.25" customHeight="1" x14ac:dyDescent="0.1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9"/>
      <c r="AH668" s="8"/>
      <c r="AI668" s="8"/>
      <c r="AJ668" s="8"/>
    </row>
    <row r="669" spans="1:36" ht="11.25" customHeight="1" x14ac:dyDescent="0.1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9"/>
      <c r="AH669" s="8"/>
      <c r="AI669" s="8"/>
      <c r="AJ669" s="8"/>
    </row>
    <row r="670" spans="1:36" ht="11.25" customHeight="1" x14ac:dyDescent="0.1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  <c r="AC670" s="8"/>
      <c r="AD670" s="8"/>
      <c r="AE670" s="8"/>
      <c r="AF670" s="8"/>
      <c r="AG670" s="9"/>
      <c r="AH670" s="8"/>
      <c r="AI670" s="8"/>
      <c r="AJ670" s="8"/>
    </row>
    <row r="671" spans="1:36" ht="11.25" customHeight="1" x14ac:dyDescent="0.1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9"/>
      <c r="AH671" s="8"/>
      <c r="AI671" s="8"/>
      <c r="AJ671" s="8"/>
    </row>
    <row r="672" spans="1:36" ht="11.25" customHeight="1" x14ac:dyDescent="0.1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9"/>
      <c r="AH672" s="8"/>
      <c r="AI672" s="8"/>
      <c r="AJ672" s="8"/>
    </row>
    <row r="673" spans="1:36" ht="11.25" customHeight="1" x14ac:dyDescent="0.1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  <c r="AC673" s="8"/>
      <c r="AD673" s="8"/>
      <c r="AE673" s="8"/>
      <c r="AF673" s="8"/>
      <c r="AG673" s="9"/>
      <c r="AH673" s="8"/>
      <c r="AI673" s="8"/>
      <c r="AJ673" s="8"/>
    </row>
    <row r="674" spans="1:36" ht="11.25" customHeight="1" x14ac:dyDescent="0.1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9"/>
      <c r="AH674" s="8"/>
      <c r="AI674" s="8"/>
      <c r="AJ674" s="8"/>
    </row>
    <row r="675" spans="1:36" ht="11.25" customHeight="1" x14ac:dyDescent="0.1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  <c r="AC675" s="8"/>
      <c r="AD675" s="8"/>
      <c r="AE675" s="8"/>
      <c r="AF675" s="8"/>
      <c r="AG675" s="9"/>
      <c r="AH675" s="8"/>
      <c r="AI675" s="8"/>
      <c r="AJ675" s="8"/>
    </row>
    <row r="676" spans="1:36" ht="11.25" customHeight="1" x14ac:dyDescent="0.1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  <c r="AC676" s="8"/>
      <c r="AD676" s="8"/>
      <c r="AE676" s="8"/>
      <c r="AF676" s="8"/>
      <c r="AG676" s="9"/>
      <c r="AH676" s="8"/>
      <c r="AI676" s="8"/>
      <c r="AJ676" s="8"/>
    </row>
    <row r="677" spans="1:36" ht="11.25" customHeight="1" x14ac:dyDescent="0.1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  <c r="AC677" s="8"/>
      <c r="AD677" s="8"/>
      <c r="AE677" s="8"/>
      <c r="AF677" s="8"/>
      <c r="AG677" s="9"/>
      <c r="AH677" s="8"/>
      <c r="AI677" s="8"/>
      <c r="AJ677" s="8"/>
    </row>
    <row r="678" spans="1:36" ht="11.25" customHeight="1" x14ac:dyDescent="0.1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  <c r="AC678" s="8"/>
      <c r="AD678" s="8"/>
      <c r="AE678" s="8"/>
      <c r="AF678" s="8"/>
      <c r="AG678" s="9"/>
      <c r="AH678" s="8"/>
      <c r="AI678" s="8"/>
      <c r="AJ678" s="8"/>
    </row>
    <row r="679" spans="1:36" ht="11.25" customHeight="1" x14ac:dyDescent="0.1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9"/>
      <c r="AH679" s="8"/>
      <c r="AI679" s="8"/>
      <c r="AJ679" s="8"/>
    </row>
    <row r="680" spans="1:36" ht="11.25" customHeight="1" x14ac:dyDescent="0.1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  <c r="AC680" s="8"/>
      <c r="AD680" s="8"/>
      <c r="AE680" s="8"/>
      <c r="AF680" s="8"/>
      <c r="AG680" s="9"/>
      <c r="AH680" s="8"/>
      <c r="AI680" s="8"/>
      <c r="AJ680" s="8"/>
    </row>
    <row r="681" spans="1:36" ht="11.25" customHeight="1" x14ac:dyDescent="0.1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9"/>
      <c r="AH681" s="8"/>
      <c r="AI681" s="8"/>
      <c r="AJ681" s="8"/>
    </row>
    <row r="682" spans="1:36" ht="11.25" customHeight="1" x14ac:dyDescent="0.1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9"/>
      <c r="AH682" s="8"/>
      <c r="AI682" s="8"/>
      <c r="AJ682" s="8"/>
    </row>
    <row r="683" spans="1:36" ht="11.25" customHeight="1" x14ac:dyDescent="0.1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9"/>
      <c r="AH683" s="8"/>
      <c r="AI683" s="8"/>
      <c r="AJ683" s="8"/>
    </row>
    <row r="684" spans="1:36" ht="11.25" customHeight="1" x14ac:dyDescent="0.1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  <c r="AC684" s="8"/>
      <c r="AD684" s="8"/>
      <c r="AE684" s="8"/>
      <c r="AF684" s="8"/>
      <c r="AG684" s="9"/>
      <c r="AH684" s="8"/>
      <c r="AI684" s="8"/>
      <c r="AJ684" s="8"/>
    </row>
    <row r="685" spans="1:36" ht="11.25" customHeight="1" x14ac:dyDescent="0.1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9"/>
      <c r="AH685" s="8"/>
      <c r="AI685" s="8"/>
      <c r="AJ685" s="8"/>
    </row>
    <row r="686" spans="1:36" ht="11.25" customHeight="1" x14ac:dyDescent="0.1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9"/>
      <c r="AH686" s="8"/>
      <c r="AI686" s="8"/>
      <c r="AJ686" s="8"/>
    </row>
    <row r="687" spans="1:36" ht="11.25" customHeight="1" x14ac:dyDescent="0.1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9"/>
      <c r="AH687" s="8"/>
      <c r="AI687" s="8"/>
      <c r="AJ687" s="8"/>
    </row>
    <row r="688" spans="1:36" ht="11.25" customHeight="1" x14ac:dyDescent="0.1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  <c r="AC688" s="8"/>
      <c r="AD688" s="8"/>
      <c r="AE688" s="8"/>
      <c r="AF688" s="8"/>
      <c r="AG688" s="9"/>
      <c r="AH688" s="8"/>
      <c r="AI688" s="8"/>
      <c r="AJ688" s="8"/>
    </row>
    <row r="689" spans="1:36" ht="11.25" customHeight="1" x14ac:dyDescent="0.1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9"/>
      <c r="AH689" s="8"/>
      <c r="AI689" s="8"/>
      <c r="AJ689" s="8"/>
    </row>
    <row r="690" spans="1:36" ht="11.25" customHeight="1" x14ac:dyDescent="0.1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9"/>
      <c r="AH690" s="8"/>
      <c r="AI690" s="8"/>
      <c r="AJ690" s="8"/>
    </row>
    <row r="691" spans="1:36" ht="11.25" customHeight="1" x14ac:dyDescent="0.1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  <c r="AC691" s="8"/>
      <c r="AD691" s="8"/>
      <c r="AE691" s="8"/>
      <c r="AF691" s="8"/>
      <c r="AG691" s="9"/>
      <c r="AH691" s="8"/>
      <c r="AI691" s="8"/>
      <c r="AJ691" s="8"/>
    </row>
    <row r="692" spans="1:36" ht="11.25" customHeight="1" x14ac:dyDescent="0.1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  <c r="AC692" s="8"/>
      <c r="AD692" s="8"/>
      <c r="AE692" s="8"/>
      <c r="AF692" s="8"/>
      <c r="AG692" s="9"/>
      <c r="AH692" s="8"/>
      <c r="AI692" s="8"/>
      <c r="AJ692" s="8"/>
    </row>
    <row r="693" spans="1:36" ht="11.25" customHeight="1" x14ac:dyDescent="0.1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  <c r="AC693" s="8"/>
      <c r="AD693" s="8"/>
      <c r="AE693" s="8"/>
      <c r="AF693" s="8"/>
      <c r="AG693" s="9"/>
      <c r="AH693" s="8"/>
      <c r="AI693" s="8"/>
      <c r="AJ693" s="8"/>
    </row>
    <row r="694" spans="1:36" ht="11.25" customHeight="1" x14ac:dyDescent="0.1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  <c r="AC694" s="8"/>
      <c r="AD694" s="8"/>
      <c r="AE694" s="8"/>
      <c r="AF694" s="8"/>
      <c r="AG694" s="9"/>
      <c r="AH694" s="8"/>
      <c r="AI694" s="8"/>
      <c r="AJ694" s="8"/>
    </row>
    <row r="695" spans="1:36" ht="11.25" customHeight="1" x14ac:dyDescent="0.1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  <c r="AC695" s="8"/>
      <c r="AD695" s="8"/>
      <c r="AE695" s="8"/>
      <c r="AF695" s="8"/>
      <c r="AG695" s="9"/>
      <c r="AH695" s="8"/>
      <c r="AI695" s="8"/>
      <c r="AJ695" s="8"/>
    </row>
    <row r="696" spans="1:36" ht="11.25" customHeight="1" x14ac:dyDescent="0.1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  <c r="AC696" s="8"/>
      <c r="AD696" s="8"/>
      <c r="AE696" s="8"/>
      <c r="AF696" s="8"/>
      <c r="AG696" s="9"/>
      <c r="AH696" s="8"/>
      <c r="AI696" s="8"/>
      <c r="AJ696" s="8"/>
    </row>
    <row r="697" spans="1:36" ht="11.25" customHeight="1" x14ac:dyDescent="0.1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  <c r="AC697" s="8"/>
      <c r="AD697" s="8"/>
      <c r="AE697" s="8"/>
      <c r="AF697" s="8"/>
      <c r="AG697" s="9"/>
      <c r="AH697" s="8"/>
      <c r="AI697" s="8"/>
      <c r="AJ697" s="8"/>
    </row>
    <row r="698" spans="1:36" ht="11.25" customHeight="1" x14ac:dyDescent="0.1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9"/>
      <c r="AH698" s="8"/>
      <c r="AI698" s="8"/>
      <c r="AJ698" s="8"/>
    </row>
    <row r="699" spans="1:36" ht="11.25" customHeight="1" x14ac:dyDescent="0.1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  <c r="AC699" s="8"/>
      <c r="AD699" s="8"/>
      <c r="AE699" s="8"/>
      <c r="AF699" s="8"/>
      <c r="AG699" s="9"/>
      <c r="AH699" s="8"/>
      <c r="AI699" s="8"/>
      <c r="AJ699" s="8"/>
    </row>
    <row r="700" spans="1:36" ht="11.25" customHeight="1" x14ac:dyDescent="0.1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9"/>
      <c r="AH700" s="8"/>
      <c r="AI700" s="8"/>
      <c r="AJ700" s="8"/>
    </row>
    <row r="701" spans="1:36" ht="11.25" customHeight="1" x14ac:dyDescent="0.1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  <c r="AC701" s="8"/>
      <c r="AD701" s="8"/>
      <c r="AE701" s="8"/>
      <c r="AF701" s="8"/>
      <c r="AG701" s="9"/>
      <c r="AH701" s="8"/>
      <c r="AI701" s="8"/>
      <c r="AJ701" s="8"/>
    </row>
    <row r="702" spans="1:36" ht="11.25" customHeight="1" x14ac:dyDescent="0.1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9"/>
      <c r="AH702" s="8"/>
      <c r="AI702" s="8"/>
      <c r="AJ702" s="8"/>
    </row>
    <row r="703" spans="1:36" ht="11.25" customHeight="1" x14ac:dyDescent="0.1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9"/>
      <c r="AH703" s="8"/>
      <c r="AI703" s="8"/>
      <c r="AJ703" s="8"/>
    </row>
    <row r="704" spans="1:36" ht="11.25" customHeight="1" x14ac:dyDescent="0.1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  <c r="AC704" s="8"/>
      <c r="AD704" s="8"/>
      <c r="AE704" s="8"/>
      <c r="AF704" s="8"/>
      <c r="AG704" s="9"/>
      <c r="AH704" s="8"/>
      <c r="AI704" s="8"/>
      <c r="AJ704" s="8"/>
    </row>
    <row r="705" spans="1:36" ht="11.25" customHeight="1" x14ac:dyDescent="0.1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  <c r="AC705" s="8"/>
      <c r="AD705" s="8"/>
      <c r="AE705" s="8"/>
      <c r="AF705" s="8"/>
      <c r="AG705" s="9"/>
      <c r="AH705" s="8"/>
      <c r="AI705" s="8"/>
      <c r="AJ705" s="8"/>
    </row>
    <row r="706" spans="1:36" ht="11.25" customHeight="1" x14ac:dyDescent="0.1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  <c r="AC706" s="8"/>
      <c r="AD706" s="8"/>
      <c r="AE706" s="8"/>
      <c r="AF706" s="8"/>
      <c r="AG706" s="9"/>
      <c r="AH706" s="8"/>
      <c r="AI706" s="8"/>
      <c r="AJ706" s="8"/>
    </row>
    <row r="707" spans="1:36" ht="11.25" customHeight="1" x14ac:dyDescent="0.1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  <c r="AC707" s="8"/>
      <c r="AD707" s="8"/>
      <c r="AE707" s="8"/>
      <c r="AF707" s="8"/>
      <c r="AG707" s="9"/>
      <c r="AH707" s="8"/>
      <c r="AI707" s="8"/>
      <c r="AJ707" s="8"/>
    </row>
    <row r="708" spans="1:36" ht="11.25" customHeight="1" x14ac:dyDescent="0.1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9"/>
      <c r="AH708" s="8"/>
      <c r="AI708" s="8"/>
      <c r="AJ708" s="8"/>
    </row>
    <row r="709" spans="1:36" ht="11.25" customHeight="1" x14ac:dyDescent="0.1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  <c r="AC709" s="8"/>
      <c r="AD709" s="8"/>
      <c r="AE709" s="8"/>
      <c r="AF709" s="8"/>
      <c r="AG709" s="9"/>
      <c r="AH709" s="8"/>
      <c r="AI709" s="8"/>
      <c r="AJ709" s="8"/>
    </row>
    <row r="710" spans="1:36" ht="11.25" customHeight="1" x14ac:dyDescent="0.1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  <c r="AC710" s="8"/>
      <c r="AD710" s="8"/>
      <c r="AE710" s="8"/>
      <c r="AF710" s="8"/>
      <c r="AG710" s="9"/>
      <c r="AH710" s="8"/>
      <c r="AI710" s="8"/>
      <c r="AJ710" s="8"/>
    </row>
    <row r="711" spans="1:36" ht="11.25" customHeight="1" x14ac:dyDescent="0.1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  <c r="AC711" s="8"/>
      <c r="AD711" s="8"/>
      <c r="AE711" s="8"/>
      <c r="AF711" s="8"/>
      <c r="AG711" s="9"/>
      <c r="AH711" s="8"/>
      <c r="AI711" s="8"/>
      <c r="AJ711" s="8"/>
    </row>
    <row r="712" spans="1:36" ht="11.25" customHeight="1" x14ac:dyDescent="0.1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  <c r="AC712" s="8"/>
      <c r="AD712" s="8"/>
      <c r="AE712" s="8"/>
      <c r="AF712" s="8"/>
      <c r="AG712" s="9"/>
      <c r="AH712" s="8"/>
      <c r="AI712" s="8"/>
      <c r="AJ712" s="8"/>
    </row>
    <row r="713" spans="1:36" ht="11.25" customHeight="1" x14ac:dyDescent="0.1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  <c r="AC713" s="8"/>
      <c r="AD713" s="8"/>
      <c r="AE713" s="8"/>
      <c r="AF713" s="8"/>
      <c r="AG713" s="9"/>
      <c r="AH713" s="8"/>
      <c r="AI713" s="8"/>
      <c r="AJ713" s="8"/>
    </row>
    <row r="714" spans="1:36" ht="11.25" customHeight="1" x14ac:dyDescent="0.1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  <c r="AC714" s="8"/>
      <c r="AD714" s="8"/>
      <c r="AE714" s="8"/>
      <c r="AF714" s="8"/>
      <c r="AG714" s="9"/>
      <c r="AH714" s="8"/>
      <c r="AI714" s="8"/>
      <c r="AJ714" s="8"/>
    </row>
    <row r="715" spans="1:36" ht="11.25" customHeight="1" x14ac:dyDescent="0.1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9"/>
      <c r="AH715" s="8"/>
      <c r="AI715" s="8"/>
      <c r="AJ715" s="8"/>
    </row>
    <row r="716" spans="1:36" ht="11.25" customHeight="1" x14ac:dyDescent="0.1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9"/>
      <c r="AH716" s="8"/>
      <c r="AI716" s="8"/>
      <c r="AJ716" s="8"/>
    </row>
    <row r="717" spans="1:36" ht="11.25" customHeight="1" x14ac:dyDescent="0.1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  <c r="AC717" s="8"/>
      <c r="AD717" s="8"/>
      <c r="AE717" s="8"/>
      <c r="AF717" s="8"/>
      <c r="AG717" s="9"/>
      <c r="AH717" s="8"/>
      <c r="AI717" s="8"/>
      <c r="AJ717" s="8"/>
    </row>
    <row r="718" spans="1:36" ht="11.25" customHeight="1" x14ac:dyDescent="0.1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9"/>
      <c r="AH718" s="8"/>
      <c r="AI718" s="8"/>
      <c r="AJ718" s="8"/>
    </row>
    <row r="719" spans="1:36" ht="11.25" customHeight="1" x14ac:dyDescent="0.1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  <c r="AC719" s="8"/>
      <c r="AD719" s="8"/>
      <c r="AE719" s="8"/>
      <c r="AF719" s="8"/>
      <c r="AG719" s="9"/>
      <c r="AH719" s="8"/>
      <c r="AI719" s="8"/>
      <c r="AJ719" s="8"/>
    </row>
    <row r="720" spans="1:36" ht="11.25" customHeight="1" x14ac:dyDescent="0.1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9"/>
      <c r="AH720" s="8"/>
      <c r="AI720" s="8"/>
      <c r="AJ720" s="8"/>
    </row>
    <row r="721" spans="1:36" ht="11.25" customHeight="1" x14ac:dyDescent="0.1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  <c r="AC721" s="8"/>
      <c r="AD721" s="8"/>
      <c r="AE721" s="8"/>
      <c r="AF721" s="8"/>
      <c r="AG721" s="9"/>
      <c r="AH721" s="8"/>
      <c r="AI721" s="8"/>
      <c r="AJ721" s="8"/>
    </row>
    <row r="722" spans="1:36" ht="11.25" customHeight="1" x14ac:dyDescent="0.1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  <c r="AC722" s="8"/>
      <c r="AD722" s="8"/>
      <c r="AE722" s="8"/>
      <c r="AF722" s="8"/>
      <c r="AG722" s="9"/>
      <c r="AH722" s="8"/>
      <c r="AI722" s="8"/>
      <c r="AJ722" s="8"/>
    </row>
    <row r="723" spans="1:36" ht="11.25" customHeight="1" x14ac:dyDescent="0.1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  <c r="AC723" s="8"/>
      <c r="AD723" s="8"/>
      <c r="AE723" s="8"/>
      <c r="AF723" s="8"/>
      <c r="AG723" s="9"/>
      <c r="AH723" s="8"/>
      <c r="AI723" s="8"/>
      <c r="AJ723" s="8"/>
    </row>
    <row r="724" spans="1:36" ht="11.25" customHeight="1" x14ac:dyDescent="0.1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  <c r="AC724" s="8"/>
      <c r="AD724" s="8"/>
      <c r="AE724" s="8"/>
      <c r="AF724" s="8"/>
      <c r="AG724" s="9"/>
      <c r="AH724" s="8"/>
      <c r="AI724" s="8"/>
      <c r="AJ724" s="8"/>
    </row>
    <row r="725" spans="1:36" ht="11.25" customHeight="1" x14ac:dyDescent="0.1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  <c r="AC725" s="8"/>
      <c r="AD725" s="8"/>
      <c r="AE725" s="8"/>
      <c r="AF725" s="8"/>
      <c r="AG725" s="9"/>
      <c r="AH725" s="8"/>
      <c r="AI725" s="8"/>
      <c r="AJ725" s="8"/>
    </row>
    <row r="726" spans="1:36" ht="11.25" customHeight="1" x14ac:dyDescent="0.1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  <c r="AC726" s="8"/>
      <c r="AD726" s="8"/>
      <c r="AE726" s="8"/>
      <c r="AF726" s="8"/>
      <c r="AG726" s="9"/>
      <c r="AH726" s="8"/>
      <c r="AI726" s="8"/>
      <c r="AJ726" s="8"/>
    </row>
    <row r="727" spans="1:36" ht="11.25" customHeight="1" x14ac:dyDescent="0.1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  <c r="AC727" s="8"/>
      <c r="AD727" s="8"/>
      <c r="AE727" s="8"/>
      <c r="AF727" s="8"/>
      <c r="AG727" s="9"/>
      <c r="AH727" s="8"/>
      <c r="AI727" s="8"/>
      <c r="AJ727" s="8"/>
    </row>
    <row r="728" spans="1:36" ht="11.25" customHeight="1" x14ac:dyDescent="0.1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  <c r="AC728" s="8"/>
      <c r="AD728" s="8"/>
      <c r="AE728" s="8"/>
      <c r="AF728" s="8"/>
      <c r="AG728" s="9"/>
      <c r="AH728" s="8"/>
      <c r="AI728" s="8"/>
      <c r="AJ728" s="8"/>
    </row>
    <row r="729" spans="1:36" ht="11.25" customHeight="1" x14ac:dyDescent="0.1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  <c r="AC729" s="8"/>
      <c r="AD729" s="8"/>
      <c r="AE729" s="8"/>
      <c r="AF729" s="8"/>
      <c r="AG729" s="9"/>
      <c r="AH729" s="8"/>
      <c r="AI729" s="8"/>
      <c r="AJ729" s="8"/>
    </row>
    <row r="730" spans="1:36" ht="11.25" customHeight="1" x14ac:dyDescent="0.1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  <c r="AC730" s="8"/>
      <c r="AD730" s="8"/>
      <c r="AE730" s="8"/>
      <c r="AF730" s="8"/>
      <c r="AG730" s="9"/>
      <c r="AH730" s="8"/>
      <c r="AI730" s="8"/>
      <c r="AJ730" s="8"/>
    </row>
    <row r="731" spans="1:36" ht="11.25" customHeight="1" x14ac:dyDescent="0.1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9"/>
      <c r="AH731" s="8"/>
      <c r="AI731" s="8"/>
      <c r="AJ731" s="8"/>
    </row>
    <row r="732" spans="1:36" ht="11.25" customHeight="1" x14ac:dyDescent="0.1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9"/>
      <c r="AH732" s="8"/>
      <c r="AI732" s="8"/>
      <c r="AJ732" s="8"/>
    </row>
    <row r="733" spans="1:36" ht="11.25" customHeight="1" x14ac:dyDescent="0.1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  <c r="AC733" s="8"/>
      <c r="AD733" s="8"/>
      <c r="AE733" s="8"/>
      <c r="AF733" s="8"/>
      <c r="AG733" s="9"/>
      <c r="AH733" s="8"/>
      <c r="AI733" s="8"/>
      <c r="AJ733" s="8"/>
    </row>
    <row r="734" spans="1:36" ht="11.25" customHeight="1" x14ac:dyDescent="0.1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9"/>
      <c r="AH734" s="8"/>
      <c r="AI734" s="8"/>
      <c r="AJ734" s="8"/>
    </row>
    <row r="735" spans="1:36" ht="11.25" customHeight="1" x14ac:dyDescent="0.1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  <c r="AC735" s="8"/>
      <c r="AD735" s="8"/>
      <c r="AE735" s="8"/>
      <c r="AF735" s="8"/>
      <c r="AG735" s="9"/>
      <c r="AH735" s="8"/>
      <c r="AI735" s="8"/>
      <c r="AJ735" s="8"/>
    </row>
    <row r="736" spans="1:36" ht="11.25" customHeight="1" x14ac:dyDescent="0.1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9"/>
      <c r="AH736" s="8"/>
      <c r="AI736" s="8"/>
      <c r="AJ736" s="8"/>
    </row>
    <row r="737" spans="1:36" ht="11.25" customHeight="1" x14ac:dyDescent="0.1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  <c r="AC737" s="8"/>
      <c r="AD737" s="8"/>
      <c r="AE737" s="8"/>
      <c r="AF737" s="8"/>
      <c r="AG737" s="9"/>
      <c r="AH737" s="8"/>
      <c r="AI737" s="8"/>
      <c r="AJ737" s="8"/>
    </row>
    <row r="738" spans="1:36" ht="11.25" customHeight="1" x14ac:dyDescent="0.1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  <c r="AC738" s="8"/>
      <c r="AD738" s="8"/>
      <c r="AE738" s="8"/>
      <c r="AF738" s="8"/>
      <c r="AG738" s="9"/>
      <c r="AH738" s="8"/>
      <c r="AI738" s="8"/>
      <c r="AJ738" s="8"/>
    </row>
    <row r="739" spans="1:36" ht="11.25" customHeight="1" x14ac:dyDescent="0.1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  <c r="AC739" s="8"/>
      <c r="AD739" s="8"/>
      <c r="AE739" s="8"/>
      <c r="AF739" s="8"/>
      <c r="AG739" s="9"/>
      <c r="AH739" s="8"/>
      <c r="AI739" s="8"/>
      <c r="AJ739" s="8"/>
    </row>
    <row r="740" spans="1:36" ht="11.25" customHeight="1" x14ac:dyDescent="0.1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  <c r="AC740" s="8"/>
      <c r="AD740" s="8"/>
      <c r="AE740" s="8"/>
      <c r="AF740" s="8"/>
      <c r="AG740" s="9"/>
      <c r="AH740" s="8"/>
      <c r="AI740" s="8"/>
      <c r="AJ740" s="8"/>
    </row>
    <row r="741" spans="1:36" ht="11.25" customHeight="1" x14ac:dyDescent="0.1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9"/>
      <c r="AH741" s="8"/>
      <c r="AI741" s="8"/>
      <c r="AJ741" s="8"/>
    </row>
    <row r="742" spans="1:36" ht="11.25" customHeight="1" x14ac:dyDescent="0.1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9"/>
      <c r="AH742" s="8"/>
      <c r="AI742" s="8"/>
      <c r="AJ742" s="8"/>
    </row>
    <row r="743" spans="1:36" ht="11.25" customHeight="1" x14ac:dyDescent="0.1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  <c r="AC743" s="8"/>
      <c r="AD743" s="8"/>
      <c r="AE743" s="8"/>
      <c r="AF743" s="8"/>
      <c r="AG743" s="9"/>
      <c r="AH743" s="8"/>
      <c r="AI743" s="8"/>
      <c r="AJ743" s="8"/>
    </row>
    <row r="744" spans="1:36" ht="11.25" customHeight="1" x14ac:dyDescent="0.1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9"/>
      <c r="AH744" s="8"/>
      <c r="AI744" s="8"/>
      <c r="AJ744" s="8"/>
    </row>
    <row r="745" spans="1:36" ht="11.25" customHeight="1" x14ac:dyDescent="0.1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  <c r="AC745" s="8"/>
      <c r="AD745" s="8"/>
      <c r="AE745" s="8"/>
      <c r="AF745" s="8"/>
      <c r="AG745" s="9"/>
      <c r="AH745" s="8"/>
      <c r="AI745" s="8"/>
      <c r="AJ745" s="8"/>
    </row>
    <row r="746" spans="1:36" ht="11.25" customHeight="1" x14ac:dyDescent="0.1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9"/>
      <c r="AH746" s="8"/>
      <c r="AI746" s="8"/>
      <c r="AJ746" s="8"/>
    </row>
    <row r="747" spans="1:36" ht="11.25" customHeight="1" x14ac:dyDescent="0.1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  <c r="AC747" s="8"/>
      <c r="AD747" s="8"/>
      <c r="AE747" s="8"/>
      <c r="AF747" s="8"/>
      <c r="AG747" s="9"/>
      <c r="AH747" s="8"/>
      <c r="AI747" s="8"/>
      <c r="AJ747" s="8"/>
    </row>
    <row r="748" spans="1:36" ht="11.25" customHeight="1" x14ac:dyDescent="0.1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  <c r="AC748" s="8"/>
      <c r="AD748" s="8"/>
      <c r="AE748" s="8"/>
      <c r="AF748" s="8"/>
      <c r="AG748" s="9"/>
      <c r="AH748" s="8"/>
      <c r="AI748" s="8"/>
      <c r="AJ748" s="8"/>
    </row>
    <row r="749" spans="1:36" ht="11.25" customHeight="1" x14ac:dyDescent="0.1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  <c r="AC749" s="8"/>
      <c r="AD749" s="8"/>
      <c r="AE749" s="8"/>
      <c r="AF749" s="8"/>
      <c r="AG749" s="9"/>
      <c r="AH749" s="8"/>
      <c r="AI749" s="8"/>
      <c r="AJ749" s="8"/>
    </row>
    <row r="750" spans="1:36" ht="11.25" customHeight="1" x14ac:dyDescent="0.1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  <c r="AC750" s="8"/>
      <c r="AD750" s="8"/>
      <c r="AE750" s="8"/>
      <c r="AF750" s="8"/>
      <c r="AG750" s="9"/>
      <c r="AH750" s="8"/>
      <c r="AI750" s="8"/>
      <c r="AJ750" s="8"/>
    </row>
    <row r="751" spans="1:36" ht="11.25" customHeight="1" x14ac:dyDescent="0.1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  <c r="AC751" s="8"/>
      <c r="AD751" s="8"/>
      <c r="AE751" s="8"/>
      <c r="AF751" s="8"/>
      <c r="AG751" s="9"/>
      <c r="AH751" s="8"/>
      <c r="AI751" s="8"/>
      <c r="AJ751" s="8"/>
    </row>
    <row r="752" spans="1:36" ht="11.25" customHeight="1" x14ac:dyDescent="0.1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  <c r="AC752" s="8"/>
      <c r="AD752" s="8"/>
      <c r="AE752" s="8"/>
      <c r="AF752" s="8"/>
      <c r="AG752" s="9"/>
      <c r="AH752" s="8"/>
      <c r="AI752" s="8"/>
      <c r="AJ752" s="8"/>
    </row>
    <row r="753" spans="1:36" ht="11.25" customHeight="1" x14ac:dyDescent="0.1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  <c r="AC753" s="8"/>
      <c r="AD753" s="8"/>
      <c r="AE753" s="8"/>
      <c r="AF753" s="8"/>
      <c r="AG753" s="9"/>
      <c r="AH753" s="8"/>
      <c r="AI753" s="8"/>
      <c r="AJ753" s="8"/>
    </row>
    <row r="754" spans="1:36" ht="11.25" customHeight="1" x14ac:dyDescent="0.1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  <c r="AC754" s="8"/>
      <c r="AD754" s="8"/>
      <c r="AE754" s="8"/>
      <c r="AF754" s="8"/>
      <c r="AG754" s="9"/>
      <c r="AH754" s="8"/>
      <c r="AI754" s="8"/>
      <c r="AJ754" s="8"/>
    </row>
    <row r="755" spans="1:36" ht="11.25" customHeight="1" x14ac:dyDescent="0.1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  <c r="AC755" s="8"/>
      <c r="AD755" s="8"/>
      <c r="AE755" s="8"/>
      <c r="AF755" s="8"/>
      <c r="AG755" s="9"/>
      <c r="AH755" s="8"/>
      <c r="AI755" s="8"/>
      <c r="AJ755" s="8"/>
    </row>
    <row r="756" spans="1:36" ht="11.25" customHeight="1" x14ac:dyDescent="0.1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  <c r="AC756" s="8"/>
      <c r="AD756" s="8"/>
      <c r="AE756" s="8"/>
      <c r="AF756" s="8"/>
      <c r="AG756" s="9"/>
      <c r="AH756" s="8"/>
      <c r="AI756" s="8"/>
      <c r="AJ756" s="8"/>
    </row>
    <row r="757" spans="1:36" ht="11.25" customHeight="1" x14ac:dyDescent="0.1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  <c r="AC757" s="8"/>
      <c r="AD757" s="8"/>
      <c r="AE757" s="8"/>
      <c r="AF757" s="8"/>
      <c r="AG757" s="9"/>
      <c r="AH757" s="8"/>
      <c r="AI757" s="8"/>
      <c r="AJ757" s="8"/>
    </row>
    <row r="758" spans="1:36" ht="11.25" customHeight="1" x14ac:dyDescent="0.1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  <c r="AC758" s="8"/>
      <c r="AD758" s="8"/>
      <c r="AE758" s="8"/>
      <c r="AF758" s="8"/>
      <c r="AG758" s="9"/>
      <c r="AH758" s="8"/>
      <c r="AI758" s="8"/>
      <c r="AJ758" s="8"/>
    </row>
    <row r="759" spans="1:36" ht="11.25" customHeight="1" x14ac:dyDescent="0.1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  <c r="AC759" s="8"/>
      <c r="AD759" s="8"/>
      <c r="AE759" s="8"/>
      <c r="AF759" s="8"/>
      <c r="AG759" s="9"/>
      <c r="AH759" s="8"/>
      <c r="AI759" s="8"/>
      <c r="AJ759" s="8"/>
    </row>
    <row r="760" spans="1:36" ht="11.25" customHeight="1" x14ac:dyDescent="0.1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  <c r="AC760" s="8"/>
      <c r="AD760" s="8"/>
      <c r="AE760" s="8"/>
      <c r="AF760" s="8"/>
      <c r="AG760" s="9"/>
      <c r="AH760" s="8"/>
      <c r="AI760" s="8"/>
      <c r="AJ760" s="8"/>
    </row>
    <row r="761" spans="1:36" ht="11.25" customHeight="1" x14ac:dyDescent="0.1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  <c r="AC761" s="8"/>
      <c r="AD761" s="8"/>
      <c r="AE761" s="8"/>
      <c r="AF761" s="8"/>
      <c r="AG761" s="9"/>
      <c r="AH761" s="8"/>
      <c r="AI761" s="8"/>
      <c r="AJ761" s="8"/>
    </row>
    <row r="762" spans="1:36" ht="11.25" customHeight="1" x14ac:dyDescent="0.1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  <c r="AC762" s="8"/>
      <c r="AD762" s="8"/>
      <c r="AE762" s="8"/>
      <c r="AF762" s="8"/>
      <c r="AG762" s="9"/>
      <c r="AH762" s="8"/>
      <c r="AI762" s="8"/>
      <c r="AJ762" s="8"/>
    </row>
    <row r="763" spans="1:36" ht="11.25" customHeight="1" x14ac:dyDescent="0.1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9"/>
      <c r="AH763" s="8"/>
      <c r="AI763" s="8"/>
      <c r="AJ763" s="8"/>
    </row>
    <row r="764" spans="1:36" ht="11.25" customHeight="1" x14ac:dyDescent="0.1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9"/>
      <c r="AH764" s="8"/>
      <c r="AI764" s="8"/>
      <c r="AJ764" s="8"/>
    </row>
    <row r="765" spans="1:36" ht="11.25" customHeight="1" x14ac:dyDescent="0.1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  <c r="AC765" s="8"/>
      <c r="AD765" s="8"/>
      <c r="AE765" s="8"/>
      <c r="AF765" s="8"/>
      <c r="AG765" s="9"/>
      <c r="AH765" s="8"/>
      <c r="AI765" s="8"/>
      <c r="AJ765" s="8"/>
    </row>
    <row r="766" spans="1:36" ht="11.25" customHeight="1" x14ac:dyDescent="0.1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9"/>
      <c r="AH766" s="8"/>
      <c r="AI766" s="8"/>
      <c r="AJ766" s="8"/>
    </row>
    <row r="767" spans="1:36" ht="11.25" customHeight="1" x14ac:dyDescent="0.1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9"/>
      <c r="AH767" s="8"/>
      <c r="AI767" s="8"/>
      <c r="AJ767" s="8"/>
    </row>
    <row r="768" spans="1:36" ht="11.25" customHeight="1" x14ac:dyDescent="0.1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  <c r="AC768" s="8"/>
      <c r="AD768" s="8"/>
      <c r="AE768" s="8"/>
      <c r="AF768" s="8"/>
      <c r="AG768" s="9"/>
      <c r="AH768" s="8"/>
      <c r="AI768" s="8"/>
      <c r="AJ768" s="8"/>
    </row>
    <row r="769" spans="1:36" ht="11.25" customHeight="1" x14ac:dyDescent="0.1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9"/>
      <c r="AH769" s="8"/>
      <c r="AI769" s="8"/>
      <c r="AJ769" s="8"/>
    </row>
    <row r="770" spans="1:36" ht="11.25" customHeight="1" x14ac:dyDescent="0.1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  <c r="AC770" s="8"/>
      <c r="AD770" s="8"/>
      <c r="AE770" s="8"/>
      <c r="AF770" s="8"/>
      <c r="AG770" s="9"/>
      <c r="AH770" s="8"/>
      <c r="AI770" s="8"/>
      <c r="AJ770" s="8"/>
    </row>
    <row r="771" spans="1:36" ht="11.25" customHeight="1" x14ac:dyDescent="0.1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  <c r="AC771" s="8"/>
      <c r="AD771" s="8"/>
      <c r="AE771" s="8"/>
      <c r="AF771" s="8"/>
      <c r="AG771" s="9"/>
      <c r="AH771" s="8"/>
      <c r="AI771" s="8"/>
      <c r="AJ771" s="8"/>
    </row>
    <row r="772" spans="1:36" ht="11.25" customHeight="1" x14ac:dyDescent="0.1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  <c r="AC772" s="8"/>
      <c r="AD772" s="8"/>
      <c r="AE772" s="8"/>
      <c r="AF772" s="8"/>
      <c r="AG772" s="9"/>
      <c r="AH772" s="8"/>
      <c r="AI772" s="8"/>
      <c r="AJ772" s="8"/>
    </row>
    <row r="773" spans="1:36" ht="11.25" customHeight="1" x14ac:dyDescent="0.1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  <c r="AC773" s="8"/>
      <c r="AD773" s="8"/>
      <c r="AE773" s="8"/>
      <c r="AF773" s="8"/>
      <c r="AG773" s="9"/>
      <c r="AH773" s="8"/>
      <c r="AI773" s="8"/>
      <c r="AJ773" s="8"/>
    </row>
    <row r="774" spans="1:36" ht="11.25" customHeight="1" x14ac:dyDescent="0.1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9"/>
      <c r="AH774" s="8"/>
      <c r="AI774" s="8"/>
      <c r="AJ774" s="8"/>
    </row>
    <row r="775" spans="1:36" ht="11.25" customHeight="1" x14ac:dyDescent="0.1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  <c r="AC775" s="8"/>
      <c r="AD775" s="8"/>
      <c r="AE775" s="8"/>
      <c r="AF775" s="8"/>
      <c r="AG775" s="9"/>
      <c r="AH775" s="8"/>
      <c r="AI775" s="8"/>
      <c r="AJ775" s="8"/>
    </row>
    <row r="776" spans="1:36" ht="11.25" customHeight="1" x14ac:dyDescent="0.1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9"/>
      <c r="AH776" s="8"/>
      <c r="AI776" s="8"/>
      <c r="AJ776" s="8"/>
    </row>
    <row r="777" spans="1:36" ht="11.25" customHeight="1" x14ac:dyDescent="0.1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9"/>
      <c r="AH777" s="8"/>
      <c r="AI777" s="8"/>
      <c r="AJ777" s="8"/>
    </row>
    <row r="778" spans="1:36" ht="11.25" customHeight="1" x14ac:dyDescent="0.1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9"/>
      <c r="AH778" s="8"/>
      <c r="AI778" s="8"/>
      <c r="AJ778" s="8"/>
    </row>
    <row r="779" spans="1:36" ht="11.25" customHeight="1" x14ac:dyDescent="0.1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9"/>
      <c r="AH779" s="8"/>
      <c r="AI779" s="8"/>
      <c r="AJ779" s="8"/>
    </row>
    <row r="780" spans="1:36" ht="11.25" customHeight="1" x14ac:dyDescent="0.1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9"/>
      <c r="AH780" s="8"/>
      <c r="AI780" s="8"/>
      <c r="AJ780" s="8"/>
    </row>
    <row r="781" spans="1:36" ht="11.25" customHeight="1" x14ac:dyDescent="0.1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9"/>
      <c r="AH781" s="8"/>
      <c r="AI781" s="8"/>
      <c r="AJ781" s="8"/>
    </row>
    <row r="782" spans="1:36" ht="11.25" customHeight="1" x14ac:dyDescent="0.1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  <c r="AC782" s="8"/>
      <c r="AD782" s="8"/>
      <c r="AE782" s="8"/>
      <c r="AF782" s="8"/>
      <c r="AG782" s="9"/>
      <c r="AH782" s="8"/>
      <c r="AI782" s="8"/>
      <c r="AJ782" s="8"/>
    </row>
    <row r="783" spans="1:36" ht="11.25" customHeight="1" x14ac:dyDescent="0.1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9"/>
      <c r="AH783" s="8"/>
      <c r="AI783" s="8"/>
      <c r="AJ783" s="8"/>
    </row>
    <row r="784" spans="1:36" ht="11.25" customHeight="1" x14ac:dyDescent="0.1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9"/>
      <c r="AH784" s="8"/>
      <c r="AI784" s="8"/>
      <c r="AJ784" s="8"/>
    </row>
    <row r="785" spans="1:36" ht="11.25" customHeight="1" x14ac:dyDescent="0.1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9"/>
      <c r="AH785" s="8"/>
      <c r="AI785" s="8"/>
      <c r="AJ785" s="8"/>
    </row>
    <row r="786" spans="1:36" ht="11.25" customHeight="1" x14ac:dyDescent="0.1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  <c r="AC786" s="8"/>
      <c r="AD786" s="8"/>
      <c r="AE786" s="8"/>
      <c r="AF786" s="8"/>
      <c r="AG786" s="9"/>
      <c r="AH786" s="8"/>
      <c r="AI786" s="8"/>
      <c r="AJ786" s="8"/>
    </row>
    <row r="787" spans="1:36" ht="11.25" customHeight="1" x14ac:dyDescent="0.1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9"/>
      <c r="AH787" s="8"/>
      <c r="AI787" s="8"/>
      <c r="AJ787" s="8"/>
    </row>
    <row r="788" spans="1:36" ht="11.25" customHeight="1" x14ac:dyDescent="0.1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  <c r="AC788" s="8"/>
      <c r="AD788" s="8"/>
      <c r="AE788" s="8"/>
      <c r="AF788" s="8"/>
      <c r="AG788" s="9"/>
      <c r="AH788" s="8"/>
      <c r="AI788" s="8"/>
      <c r="AJ788" s="8"/>
    </row>
    <row r="789" spans="1:36" ht="11.25" customHeight="1" x14ac:dyDescent="0.1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  <c r="AC789" s="8"/>
      <c r="AD789" s="8"/>
      <c r="AE789" s="8"/>
      <c r="AF789" s="8"/>
      <c r="AG789" s="9"/>
      <c r="AH789" s="8"/>
      <c r="AI789" s="8"/>
      <c r="AJ789" s="8"/>
    </row>
    <row r="790" spans="1:36" ht="11.25" customHeight="1" x14ac:dyDescent="0.1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  <c r="AC790" s="8"/>
      <c r="AD790" s="8"/>
      <c r="AE790" s="8"/>
      <c r="AF790" s="8"/>
      <c r="AG790" s="9"/>
      <c r="AH790" s="8"/>
      <c r="AI790" s="8"/>
      <c r="AJ790" s="8"/>
    </row>
    <row r="791" spans="1:36" ht="11.25" customHeight="1" x14ac:dyDescent="0.1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  <c r="AC791" s="8"/>
      <c r="AD791" s="8"/>
      <c r="AE791" s="8"/>
      <c r="AF791" s="8"/>
      <c r="AG791" s="9"/>
      <c r="AH791" s="8"/>
      <c r="AI791" s="8"/>
      <c r="AJ791" s="8"/>
    </row>
    <row r="792" spans="1:36" ht="11.25" customHeight="1" x14ac:dyDescent="0.1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  <c r="AC792" s="8"/>
      <c r="AD792" s="8"/>
      <c r="AE792" s="8"/>
      <c r="AF792" s="8"/>
      <c r="AG792" s="9"/>
      <c r="AH792" s="8"/>
      <c r="AI792" s="8"/>
      <c r="AJ792" s="8"/>
    </row>
    <row r="793" spans="1:36" ht="11.25" customHeight="1" x14ac:dyDescent="0.1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  <c r="AC793" s="8"/>
      <c r="AD793" s="8"/>
      <c r="AE793" s="8"/>
      <c r="AF793" s="8"/>
      <c r="AG793" s="9"/>
      <c r="AH793" s="8"/>
      <c r="AI793" s="8"/>
      <c r="AJ793" s="8"/>
    </row>
    <row r="794" spans="1:36" ht="11.25" customHeight="1" x14ac:dyDescent="0.1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  <c r="AC794" s="8"/>
      <c r="AD794" s="8"/>
      <c r="AE794" s="8"/>
      <c r="AF794" s="8"/>
      <c r="AG794" s="9"/>
      <c r="AH794" s="8"/>
      <c r="AI794" s="8"/>
      <c r="AJ794" s="8"/>
    </row>
    <row r="795" spans="1:36" ht="11.25" customHeight="1" x14ac:dyDescent="0.1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9"/>
      <c r="AH795" s="8"/>
      <c r="AI795" s="8"/>
      <c r="AJ795" s="8"/>
    </row>
    <row r="796" spans="1:36" ht="11.25" customHeight="1" x14ac:dyDescent="0.1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  <c r="AC796" s="8"/>
      <c r="AD796" s="8"/>
      <c r="AE796" s="8"/>
      <c r="AF796" s="8"/>
      <c r="AG796" s="9"/>
      <c r="AH796" s="8"/>
      <c r="AI796" s="8"/>
      <c r="AJ796" s="8"/>
    </row>
    <row r="797" spans="1:36" ht="11.25" customHeight="1" x14ac:dyDescent="0.1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9"/>
      <c r="AH797" s="8"/>
      <c r="AI797" s="8"/>
      <c r="AJ797" s="8"/>
    </row>
    <row r="798" spans="1:36" ht="11.25" customHeight="1" x14ac:dyDescent="0.1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  <c r="AC798" s="8"/>
      <c r="AD798" s="8"/>
      <c r="AE798" s="8"/>
      <c r="AF798" s="8"/>
      <c r="AG798" s="9"/>
      <c r="AH798" s="8"/>
      <c r="AI798" s="8"/>
      <c r="AJ798" s="8"/>
    </row>
    <row r="799" spans="1:36" ht="11.25" customHeight="1" x14ac:dyDescent="0.1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  <c r="AC799" s="8"/>
      <c r="AD799" s="8"/>
      <c r="AE799" s="8"/>
      <c r="AF799" s="8"/>
      <c r="AG799" s="9"/>
      <c r="AH799" s="8"/>
      <c r="AI799" s="8"/>
      <c r="AJ799" s="8"/>
    </row>
    <row r="800" spans="1:36" ht="11.25" customHeight="1" x14ac:dyDescent="0.1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  <c r="AC800" s="8"/>
      <c r="AD800" s="8"/>
      <c r="AE800" s="8"/>
      <c r="AF800" s="8"/>
      <c r="AG800" s="9"/>
      <c r="AH800" s="8"/>
      <c r="AI800" s="8"/>
      <c r="AJ800" s="8"/>
    </row>
    <row r="801" spans="1:36" ht="11.25" customHeight="1" x14ac:dyDescent="0.1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  <c r="AC801" s="8"/>
      <c r="AD801" s="8"/>
      <c r="AE801" s="8"/>
      <c r="AF801" s="8"/>
      <c r="AG801" s="9"/>
      <c r="AH801" s="8"/>
      <c r="AI801" s="8"/>
      <c r="AJ801" s="8"/>
    </row>
    <row r="802" spans="1:36" ht="11.25" customHeight="1" x14ac:dyDescent="0.1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  <c r="AC802" s="8"/>
      <c r="AD802" s="8"/>
      <c r="AE802" s="8"/>
      <c r="AF802" s="8"/>
      <c r="AG802" s="9"/>
      <c r="AH802" s="8"/>
      <c r="AI802" s="8"/>
      <c r="AJ802" s="8"/>
    </row>
    <row r="803" spans="1:36" ht="11.25" customHeight="1" x14ac:dyDescent="0.1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  <c r="AC803" s="8"/>
      <c r="AD803" s="8"/>
      <c r="AE803" s="8"/>
      <c r="AF803" s="8"/>
      <c r="AG803" s="9"/>
      <c r="AH803" s="8"/>
      <c r="AI803" s="8"/>
      <c r="AJ803" s="8"/>
    </row>
    <row r="804" spans="1:36" ht="11.25" customHeight="1" x14ac:dyDescent="0.1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  <c r="AC804" s="8"/>
      <c r="AD804" s="8"/>
      <c r="AE804" s="8"/>
      <c r="AF804" s="8"/>
      <c r="AG804" s="9"/>
      <c r="AH804" s="8"/>
      <c r="AI804" s="8"/>
      <c r="AJ804" s="8"/>
    </row>
    <row r="805" spans="1:36" ht="11.25" customHeight="1" x14ac:dyDescent="0.1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  <c r="AC805" s="8"/>
      <c r="AD805" s="8"/>
      <c r="AE805" s="8"/>
      <c r="AF805" s="8"/>
      <c r="AG805" s="9"/>
      <c r="AH805" s="8"/>
      <c r="AI805" s="8"/>
      <c r="AJ805" s="8"/>
    </row>
    <row r="806" spans="1:36" ht="11.25" customHeight="1" x14ac:dyDescent="0.1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  <c r="AC806" s="8"/>
      <c r="AD806" s="8"/>
      <c r="AE806" s="8"/>
      <c r="AF806" s="8"/>
      <c r="AG806" s="9"/>
      <c r="AH806" s="8"/>
      <c r="AI806" s="8"/>
      <c r="AJ806" s="8"/>
    </row>
    <row r="807" spans="1:36" ht="11.25" customHeight="1" x14ac:dyDescent="0.1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  <c r="AC807" s="8"/>
      <c r="AD807" s="8"/>
      <c r="AE807" s="8"/>
      <c r="AF807" s="8"/>
      <c r="AG807" s="9"/>
      <c r="AH807" s="8"/>
      <c r="AI807" s="8"/>
      <c r="AJ807" s="8"/>
    </row>
    <row r="808" spans="1:36" ht="11.25" customHeight="1" x14ac:dyDescent="0.1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  <c r="AC808" s="8"/>
      <c r="AD808" s="8"/>
      <c r="AE808" s="8"/>
      <c r="AF808" s="8"/>
      <c r="AG808" s="9"/>
      <c r="AH808" s="8"/>
      <c r="AI808" s="8"/>
      <c r="AJ808" s="8"/>
    </row>
    <row r="809" spans="1:36" ht="11.25" customHeight="1" x14ac:dyDescent="0.1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  <c r="AC809" s="8"/>
      <c r="AD809" s="8"/>
      <c r="AE809" s="8"/>
      <c r="AF809" s="8"/>
      <c r="AG809" s="9"/>
      <c r="AH809" s="8"/>
      <c r="AI809" s="8"/>
      <c r="AJ809" s="8"/>
    </row>
    <row r="810" spans="1:36" ht="11.25" customHeight="1" x14ac:dyDescent="0.1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  <c r="AC810" s="8"/>
      <c r="AD810" s="8"/>
      <c r="AE810" s="8"/>
      <c r="AF810" s="8"/>
      <c r="AG810" s="9"/>
      <c r="AH810" s="8"/>
      <c r="AI810" s="8"/>
      <c r="AJ810" s="8"/>
    </row>
    <row r="811" spans="1:36" ht="11.25" customHeight="1" x14ac:dyDescent="0.1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  <c r="AC811" s="8"/>
      <c r="AD811" s="8"/>
      <c r="AE811" s="8"/>
      <c r="AF811" s="8"/>
      <c r="AG811" s="9"/>
      <c r="AH811" s="8"/>
      <c r="AI811" s="8"/>
      <c r="AJ811" s="8"/>
    </row>
    <row r="812" spans="1:36" ht="11.25" customHeight="1" x14ac:dyDescent="0.1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  <c r="AC812" s="8"/>
      <c r="AD812" s="8"/>
      <c r="AE812" s="8"/>
      <c r="AF812" s="8"/>
      <c r="AG812" s="9"/>
      <c r="AH812" s="8"/>
      <c r="AI812" s="8"/>
      <c r="AJ812" s="8"/>
    </row>
    <row r="813" spans="1:36" ht="11.25" customHeight="1" x14ac:dyDescent="0.1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  <c r="AC813" s="8"/>
      <c r="AD813" s="8"/>
      <c r="AE813" s="8"/>
      <c r="AF813" s="8"/>
      <c r="AG813" s="9"/>
      <c r="AH813" s="8"/>
      <c r="AI813" s="8"/>
      <c r="AJ813" s="8"/>
    </row>
    <row r="814" spans="1:36" ht="11.25" customHeight="1" x14ac:dyDescent="0.1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  <c r="AC814" s="8"/>
      <c r="AD814" s="8"/>
      <c r="AE814" s="8"/>
      <c r="AF814" s="8"/>
      <c r="AG814" s="9"/>
      <c r="AH814" s="8"/>
      <c r="AI814" s="8"/>
      <c r="AJ814" s="8"/>
    </row>
    <row r="815" spans="1:36" ht="11.25" customHeight="1" x14ac:dyDescent="0.1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  <c r="AC815" s="8"/>
      <c r="AD815" s="8"/>
      <c r="AE815" s="8"/>
      <c r="AF815" s="8"/>
      <c r="AG815" s="9"/>
      <c r="AH815" s="8"/>
      <c r="AI815" s="8"/>
      <c r="AJ815" s="8"/>
    </row>
    <row r="816" spans="1:36" ht="11.25" customHeight="1" x14ac:dyDescent="0.1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  <c r="AC816" s="8"/>
      <c r="AD816" s="8"/>
      <c r="AE816" s="8"/>
      <c r="AF816" s="8"/>
      <c r="AG816" s="9"/>
      <c r="AH816" s="8"/>
      <c r="AI816" s="8"/>
      <c r="AJ816" s="8"/>
    </row>
    <row r="817" spans="1:36" ht="11.25" customHeight="1" x14ac:dyDescent="0.1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9"/>
      <c r="AH817" s="8"/>
      <c r="AI817" s="8"/>
      <c r="AJ817" s="8"/>
    </row>
    <row r="818" spans="1:36" ht="11.25" customHeight="1" x14ac:dyDescent="0.1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9"/>
      <c r="AH818" s="8"/>
      <c r="AI818" s="8"/>
      <c r="AJ818" s="8"/>
    </row>
    <row r="819" spans="1:36" ht="11.25" customHeight="1" x14ac:dyDescent="0.1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  <c r="AC819" s="8"/>
      <c r="AD819" s="8"/>
      <c r="AE819" s="8"/>
      <c r="AF819" s="8"/>
      <c r="AG819" s="9"/>
      <c r="AH819" s="8"/>
      <c r="AI819" s="8"/>
      <c r="AJ819" s="8"/>
    </row>
    <row r="820" spans="1:36" ht="11.25" customHeight="1" x14ac:dyDescent="0.1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9"/>
      <c r="AH820" s="8"/>
      <c r="AI820" s="8"/>
      <c r="AJ820" s="8"/>
    </row>
    <row r="821" spans="1:36" ht="11.25" customHeight="1" x14ac:dyDescent="0.1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  <c r="AC821" s="8"/>
      <c r="AD821" s="8"/>
      <c r="AE821" s="8"/>
      <c r="AF821" s="8"/>
      <c r="AG821" s="9"/>
      <c r="AH821" s="8"/>
      <c r="AI821" s="8"/>
      <c r="AJ821" s="8"/>
    </row>
    <row r="822" spans="1:36" ht="11.25" customHeight="1" x14ac:dyDescent="0.1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9"/>
      <c r="AH822" s="8"/>
      <c r="AI822" s="8"/>
      <c r="AJ822" s="8"/>
    </row>
    <row r="823" spans="1:36" ht="11.25" customHeight="1" x14ac:dyDescent="0.1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  <c r="AC823" s="8"/>
      <c r="AD823" s="8"/>
      <c r="AE823" s="8"/>
      <c r="AF823" s="8"/>
      <c r="AG823" s="9"/>
      <c r="AH823" s="8"/>
      <c r="AI823" s="8"/>
      <c r="AJ823" s="8"/>
    </row>
    <row r="824" spans="1:36" ht="11.25" customHeight="1" x14ac:dyDescent="0.1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  <c r="AC824" s="8"/>
      <c r="AD824" s="8"/>
      <c r="AE824" s="8"/>
      <c r="AF824" s="8"/>
      <c r="AG824" s="9"/>
      <c r="AH824" s="8"/>
      <c r="AI824" s="8"/>
      <c r="AJ824" s="8"/>
    </row>
    <row r="825" spans="1:36" ht="11.25" customHeight="1" x14ac:dyDescent="0.1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  <c r="AC825" s="8"/>
      <c r="AD825" s="8"/>
      <c r="AE825" s="8"/>
      <c r="AF825" s="8"/>
      <c r="AG825" s="9"/>
      <c r="AH825" s="8"/>
      <c r="AI825" s="8"/>
      <c r="AJ825" s="8"/>
    </row>
    <row r="826" spans="1:36" ht="11.25" customHeight="1" x14ac:dyDescent="0.1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  <c r="AC826" s="8"/>
      <c r="AD826" s="8"/>
      <c r="AE826" s="8"/>
      <c r="AF826" s="8"/>
      <c r="AG826" s="9"/>
      <c r="AH826" s="8"/>
      <c r="AI826" s="8"/>
      <c r="AJ826" s="8"/>
    </row>
    <row r="827" spans="1:36" ht="11.25" customHeight="1" x14ac:dyDescent="0.1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9"/>
      <c r="AH827" s="8"/>
      <c r="AI827" s="8"/>
      <c r="AJ827" s="8"/>
    </row>
    <row r="828" spans="1:36" ht="11.25" customHeight="1" x14ac:dyDescent="0.1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  <c r="AC828" s="8"/>
      <c r="AD828" s="8"/>
      <c r="AE828" s="8"/>
      <c r="AF828" s="8"/>
      <c r="AG828" s="9"/>
      <c r="AH828" s="8"/>
      <c r="AI828" s="8"/>
      <c r="AJ828" s="8"/>
    </row>
    <row r="829" spans="1:36" ht="11.25" customHeight="1" x14ac:dyDescent="0.1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9"/>
      <c r="AH829" s="8"/>
      <c r="AI829" s="8"/>
      <c r="AJ829" s="8"/>
    </row>
    <row r="830" spans="1:36" ht="11.25" customHeight="1" x14ac:dyDescent="0.1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9"/>
      <c r="AH830" s="8"/>
      <c r="AI830" s="8"/>
      <c r="AJ830" s="8"/>
    </row>
    <row r="831" spans="1:36" ht="11.25" customHeight="1" x14ac:dyDescent="0.1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9"/>
      <c r="AH831" s="8"/>
      <c r="AI831" s="8"/>
      <c r="AJ831" s="8"/>
    </row>
    <row r="832" spans="1:36" ht="11.25" customHeight="1" x14ac:dyDescent="0.1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9"/>
      <c r="AH832" s="8"/>
      <c r="AI832" s="8"/>
      <c r="AJ832" s="8"/>
    </row>
    <row r="833" spans="1:36" ht="11.25" customHeight="1" x14ac:dyDescent="0.1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9"/>
      <c r="AH833" s="8"/>
      <c r="AI833" s="8"/>
      <c r="AJ833" s="8"/>
    </row>
    <row r="834" spans="1:36" ht="11.25" customHeight="1" x14ac:dyDescent="0.1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  <c r="AC834" s="8"/>
      <c r="AD834" s="8"/>
      <c r="AE834" s="8"/>
      <c r="AF834" s="8"/>
      <c r="AG834" s="9"/>
      <c r="AH834" s="8"/>
      <c r="AI834" s="8"/>
      <c r="AJ834" s="8"/>
    </row>
    <row r="835" spans="1:36" ht="11.25" customHeight="1" x14ac:dyDescent="0.1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9"/>
      <c r="AH835" s="8"/>
      <c r="AI835" s="8"/>
      <c r="AJ835" s="8"/>
    </row>
    <row r="836" spans="1:36" ht="11.25" customHeight="1" x14ac:dyDescent="0.1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9"/>
      <c r="AH836" s="8"/>
      <c r="AI836" s="8"/>
      <c r="AJ836" s="8"/>
    </row>
    <row r="837" spans="1:36" ht="11.25" customHeight="1" x14ac:dyDescent="0.1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9"/>
      <c r="AH837" s="8"/>
      <c r="AI837" s="8"/>
      <c r="AJ837" s="8"/>
    </row>
    <row r="838" spans="1:36" ht="11.25" customHeight="1" x14ac:dyDescent="0.1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  <c r="AC838" s="8"/>
      <c r="AD838" s="8"/>
      <c r="AE838" s="8"/>
      <c r="AF838" s="8"/>
      <c r="AG838" s="9"/>
      <c r="AH838" s="8"/>
      <c r="AI838" s="8"/>
      <c r="AJ838" s="8"/>
    </row>
    <row r="839" spans="1:36" ht="11.25" customHeight="1" x14ac:dyDescent="0.1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9"/>
      <c r="AH839" s="8"/>
      <c r="AI839" s="8"/>
      <c r="AJ839" s="8"/>
    </row>
    <row r="840" spans="1:36" ht="11.25" customHeight="1" x14ac:dyDescent="0.1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  <c r="AC840" s="8"/>
      <c r="AD840" s="8"/>
      <c r="AE840" s="8"/>
      <c r="AF840" s="8"/>
      <c r="AG840" s="9"/>
      <c r="AH840" s="8"/>
      <c r="AI840" s="8"/>
      <c r="AJ840" s="8"/>
    </row>
    <row r="841" spans="1:36" ht="11.25" customHeight="1" x14ac:dyDescent="0.1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  <c r="AC841" s="8"/>
      <c r="AD841" s="8"/>
      <c r="AE841" s="8"/>
      <c r="AF841" s="8"/>
      <c r="AG841" s="9"/>
      <c r="AH841" s="8"/>
      <c r="AI841" s="8"/>
      <c r="AJ841" s="8"/>
    </row>
    <row r="842" spans="1:36" ht="11.25" customHeight="1" x14ac:dyDescent="0.1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  <c r="AC842" s="8"/>
      <c r="AD842" s="8"/>
      <c r="AE842" s="8"/>
      <c r="AF842" s="8"/>
      <c r="AG842" s="9"/>
      <c r="AH842" s="8"/>
      <c r="AI842" s="8"/>
      <c r="AJ842" s="8"/>
    </row>
    <row r="843" spans="1:36" ht="11.25" customHeight="1" x14ac:dyDescent="0.1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  <c r="AC843" s="8"/>
      <c r="AD843" s="8"/>
      <c r="AE843" s="8"/>
      <c r="AF843" s="8"/>
      <c r="AG843" s="9"/>
      <c r="AH843" s="8"/>
      <c r="AI843" s="8"/>
      <c r="AJ843" s="8"/>
    </row>
    <row r="844" spans="1:36" ht="11.25" customHeight="1" x14ac:dyDescent="0.1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  <c r="AC844" s="8"/>
      <c r="AD844" s="8"/>
      <c r="AE844" s="8"/>
      <c r="AF844" s="8"/>
      <c r="AG844" s="9"/>
      <c r="AH844" s="8"/>
      <c r="AI844" s="8"/>
      <c r="AJ844" s="8"/>
    </row>
    <row r="845" spans="1:36" ht="11.25" customHeight="1" x14ac:dyDescent="0.1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  <c r="AC845" s="8"/>
      <c r="AD845" s="8"/>
      <c r="AE845" s="8"/>
      <c r="AF845" s="8"/>
      <c r="AG845" s="9"/>
      <c r="AH845" s="8"/>
      <c r="AI845" s="8"/>
      <c r="AJ845" s="8"/>
    </row>
    <row r="846" spans="1:36" ht="11.25" customHeight="1" x14ac:dyDescent="0.1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  <c r="AC846" s="8"/>
      <c r="AD846" s="8"/>
      <c r="AE846" s="8"/>
      <c r="AF846" s="8"/>
      <c r="AG846" s="9"/>
      <c r="AH846" s="8"/>
      <c r="AI846" s="8"/>
      <c r="AJ846" s="8"/>
    </row>
    <row r="847" spans="1:36" ht="11.25" customHeight="1" x14ac:dyDescent="0.1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9"/>
      <c r="AH847" s="8"/>
      <c r="AI847" s="8"/>
      <c r="AJ847" s="8"/>
    </row>
    <row r="848" spans="1:36" ht="11.25" customHeight="1" x14ac:dyDescent="0.1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  <c r="AC848" s="8"/>
      <c r="AD848" s="8"/>
      <c r="AE848" s="8"/>
      <c r="AF848" s="8"/>
      <c r="AG848" s="9"/>
      <c r="AH848" s="8"/>
      <c r="AI848" s="8"/>
      <c r="AJ848" s="8"/>
    </row>
    <row r="849" spans="1:36" ht="11.25" customHeight="1" x14ac:dyDescent="0.1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9"/>
      <c r="AH849" s="8"/>
      <c r="AI849" s="8"/>
      <c r="AJ849" s="8"/>
    </row>
    <row r="850" spans="1:36" ht="11.25" customHeight="1" x14ac:dyDescent="0.1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  <c r="AC850" s="8"/>
      <c r="AD850" s="8"/>
      <c r="AE850" s="8"/>
      <c r="AF850" s="8"/>
      <c r="AG850" s="9"/>
      <c r="AH850" s="8"/>
      <c r="AI850" s="8"/>
      <c r="AJ850" s="8"/>
    </row>
    <row r="851" spans="1:36" ht="11.25" customHeight="1" x14ac:dyDescent="0.1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9"/>
      <c r="AH851" s="8"/>
      <c r="AI851" s="8"/>
      <c r="AJ851" s="8"/>
    </row>
    <row r="852" spans="1:36" ht="11.25" customHeight="1" x14ac:dyDescent="0.1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  <c r="AC852" s="8"/>
      <c r="AD852" s="8"/>
      <c r="AE852" s="8"/>
      <c r="AF852" s="8"/>
      <c r="AG852" s="9"/>
      <c r="AH852" s="8"/>
      <c r="AI852" s="8"/>
      <c r="AJ852" s="8"/>
    </row>
    <row r="853" spans="1:36" ht="11.25" customHeight="1" x14ac:dyDescent="0.1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  <c r="AC853" s="8"/>
      <c r="AD853" s="8"/>
      <c r="AE853" s="8"/>
      <c r="AF853" s="8"/>
      <c r="AG853" s="9"/>
      <c r="AH853" s="8"/>
      <c r="AI853" s="8"/>
      <c r="AJ853" s="8"/>
    </row>
    <row r="854" spans="1:36" ht="11.25" customHeight="1" x14ac:dyDescent="0.1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  <c r="AC854" s="8"/>
      <c r="AD854" s="8"/>
      <c r="AE854" s="8"/>
      <c r="AF854" s="8"/>
      <c r="AG854" s="9"/>
      <c r="AH854" s="8"/>
      <c r="AI854" s="8"/>
      <c r="AJ854" s="8"/>
    </row>
    <row r="855" spans="1:36" ht="11.25" customHeight="1" x14ac:dyDescent="0.1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  <c r="AC855" s="8"/>
      <c r="AD855" s="8"/>
      <c r="AE855" s="8"/>
      <c r="AF855" s="8"/>
      <c r="AG855" s="9"/>
      <c r="AH855" s="8"/>
      <c r="AI855" s="8"/>
      <c r="AJ855" s="8"/>
    </row>
    <row r="856" spans="1:36" ht="11.25" customHeight="1" x14ac:dyDescent="0.1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9"/>
      <c r="AH856" s="8"/>
      <c r="AI856" s="8"/>
      <c r="AJ856" s="8"/>
    </row>
    <row r="857" spans="1:36" ht="11.25" customHeight="1" x14ac:dyDescent="0.1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  <c r="AC857" s="8"/>
      <c r="AD857" s="8"/>
      <c r="AE857" s="8"/>
      <c r="AF857" s="8"/>
      <c r="AG857" s="9"/>
      <c r="AH857" s="8"/>
      <c r="AI857" s="8"/>
      <c r="AJ857" s="8"/>
    </row>
    <row r="858" spans="1:36" ht="11.25" customHeight="1" x14ac:dyDescent="0.1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  <c r="AC858" s="8"/>
      <c r="AD858" s="8"/>
      <c r="AE858" s="8"/>
      <c r="AF858" s="8"/>
      <c r="AG858" s="9"/>
      <c r="AH858" s="8"/>
      <c r="AI858" s="8"/>
      <c r="AJ858" s="8"/>
    </row>
    <row r="859" spans="1:36" ht="11.25" customHeight="1" x14ac:dyDescent="0.1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  <c r="AC859" s="8"/>
      <c r="AD859" s="8"/>
      <c r="AE859" s="8"/>
      <c r="AF859" s="8"/>
      <c r="AG859" s="9"/>
      <c r="AH859" s="8"/>
      <c r="AI859" s="8"/>
      <c r="AJ859" s="8"/>
    </row>
    <row r="860" spans="1:36" ht="11.25" customHeight="1" x14ac:dyDescent="0.1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  <c r="AC860" s="8"/>
      <c r="AD860" s="8"/>
      <c r="AE860" s="8"/>
      <c r="AF860" s="8"/>
      <c r="AG860" s="9"/>
      <c r="AH860" s="8"/>
      <c r="AI860" s="8"/>
      <c r="AJ860" s="8"/>
    </row>
    <row r="861" spans="1:36" ht="11.25" customHeight="1" x14ac:dyDescent="0.1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  <c r="AC861" s="8"/>
      <c r="AD861" s="8"/>
      <c r="AE861" s="8"/>
      <c r="AF861" s="8"/>
      <c r="AG861" s="9"/>
      <c r="AH861" s="8"/>
      <c r="AI861" s="8"/>
      <c r="AJ861" s="8"/>
    </row>
    <row r="862" spans="1:36" ht="11.25" customHeight="1" x14ac:dyDescent="0.1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  <c r="AC862" s="8"/>
      <c r="AD862" s="8"/>
      <c r="AE862" s="8"/>
      <c r="AF862" s="8"/>
      <c r="AG862" s="9"/>
      <c r="AH862" s="8"/>
      <c r="AI862" s="8"/>
      <c r="AJ862" s="8"/>
    </row>
    <row r="863" spans="1:36" ht="11.25" customHeight="1" x14ac:dyDescent="0.1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  <c r="AC863" s="8"/>
      <c r="AD863" s="8"/>
      <c r="AE863" s="8"/>
      <c r="AF863" s="8"/>
      <c r="AG863" s="9"/>
      <c r="AH863" s="8"/>
      <c r="AI863" s="8"/>
      <c r="AJ863" s="8"/>
    </row>
    <row r="864" spans="1:36" ht="11.25" customHeight="1" x14ac:dyDescent="0.1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9"/>
      <c r="AH864" s="8"/>
      <c r="AI864" s="8"/>
      <c r="AJ864" s="8"/>
    </row>
    <row r="865" spans="1:36" ht="11.25" customHeight="1" x14ac:dyDescent="0.1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  <c r="AC865" s="8"/>
      <c r="AD865" s="8"/>
      <c r="AE865" s="8"/>
      <c r="AF865" s="8"/>
      <c r="AG865" s="9"/>
      <c r="AH865" s="8"/>
      <c r="AI865" s="8"/>
      <c r="AJ865" s="8"/>
    </row>
    <row r="866" spans="1:36" ht="11.25" customHeight="1" x14ac:dyDescent="0.1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9"/>
      <c r="AH866" s="8"/>
      <c r="AI866" s="8"/>
      <c r="AJ866" s="8"/>
    </row>
    <row r="867" spans="1:36" ht="11.25" customHeight="1" x14ac:dyDescent="0.1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  <c r="AC867" s="8"/>
      <c r="AD867" s="8"/>
      <c r="AE867" s="8"/>
      <c r="AF867" s="8"/>
      <c r="AG867" s="9"/>
      <c r="AH867" s="8"/>
      <c r="AI867" s="8"/>
      <c r="AJ867" s="8"/>
    </row>
    <row r="868" spans="1:36" ht="11.25" customHeight="1" x14ac:dyDescent="0.1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  <c r="AC868" s="8"/>
      <c r="AD868" s="8"/>
      <c r="AE868" s="8"/>
      <c r="AF868" s="8"/>
      <c r="AG868" s="9"/>
      <c r="AH868" s="8"/>
      <c r="AI868" s="8"/>
      <c r="AJ868" s="8"/>
    </row>
    <row r="869" spans="1:36" ht="11.25" customHeight="1" x14ac:dyDescent="0.1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  <c r="AC869" s="8"/>
      <c r="AD869" s="8"/>
      <c r="AE869" s="8"/>
      <c r="AF869" s="8"/>
      <c r="AG869" s="9"/>
      <c r="AH869" s="8"/>
      <c r="AI869" s="8"/>
      <c r="AJ869" s="8"/>
    </row>
    <row r="870" spans="1:36" ht="11.25" customHeight="1" x14ac:dyDescent="0.1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  <c r="AC870" s="8"/>
      <c r="AD870" s="8"/>
      <c r="AE870" s="8"/>
      <c r="AF870" s="8"/>
      <c r="AG870" s="9"/>
      <c r="AH870" s="8"/>
      <c r="AI870" s="8"/>
      <c r="AJ870" s="8"/>
    </row>
    <row r="871" spans="1:36" ht="11.25" customHeight="1" x14ac:dyDescent="0.1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  <c r="AC871" s="8"/>
      <c r="AD871" s="8"/>
      <c r="AE871" s="8"/>
      <c r="AF871" s="8"/>
      <c r="AG871" s="9"/>
      <c r="AH871" s="8"/>
      <c r="AI871" s="8"/>
      <c r="AJ871" s="8"/>
    </row>
    <row r="872" spans="1:36" ht="11.25" customHeight="1" x14ac:dyDescent="0.1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  <c r="AC872" s="8"/>
      <c r="AD872" s="8"/>
      <c r="AE872" s="8"/>
      <c r="AF872" s="8"/>
      <c r="AG872" s="9"/>
      <c r="AH872" s="8"/>
      <c r="AI872" s="8"/>
      <c r="AJ872" s="8"/>
    </row>
    <row r="873" spans="1:36" ht="11.25" customHeight="1" x14ac:dyDescent="0.1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  <c r="AC873" s="8"/>
      <c r="AD873" s="8"/>
      <c r="AE873" s="8"/>
      <c r="AF873" s="8"/>
      <c r="AG873" s="9"/>
      <c r="AH873" s="8"/>
      <c r="AI873" s="8"/>
      <c r="AJ873" s="8"/>
    </row>
    <row r="874" spans="1:36" ht="11.25" customHeight="1" x14ac:dyDescent="0.1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  <c r="AC874" s="8"/>
      <c r="AD874" s="8"/>
      <c r="AE874" s="8"/>
      <c r="AF874" s="8"/>
      <c r="AG874" s="9"/>
      <c r="AH874" s="8"/>
      <c r="AI874" s="8"/>
      <c r="AJ874" s="8"/>
    </row>
    <row r="875" spans="1:36" ht="11.25" customHeight="1" x14ac:dyDescent="0.1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  <c r="AC875" s="8"/>
      <c r="AD875" s="8"/>
      <c r="AE875" s="8"/>
      <c r="AF875" s="8"/>
      <c r="AG875" s="9"/>
      <c r="AH875" s="8"/>
      <c r="AI875" s="8"/>
      <c r="AJ875" s="8"/>
    </row>
    <row r="876" spans="1:36" ht="11.25" customHeight="1" x14ac:dyDescent="0.1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  <c r="AC876" s="8"/>
      <c r="AD876" s="8"/>
      <c r="AE876" s="8"/>
      <c r="AF876" s="8"/>
      <c r="AG876" s="9"/>
      <c r="AH876" s="8"/>
      <c r="AI876" s="8"/>
      <c r="AJ876" s="8"/>
    </row>
    <row r="877" spans="1:36" ht="11.25" customHeight="1" x14ac:dyDescent="0.1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9"/>
      <c r="AH877" s="8"/>
      <c r="AI877" s="8"/>
      <c r="AJ877" s="8"/>
    </row>
    <row r="878" spans="1:36" ht="11.25" customHeight="1" x14ac:dyDescent="0.1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  <c r="AC878" s="8"/>
      <c r="AD878" s="8"/>
      <c r="AE878" s="8"/>
      <c r="AF878" s="8"/>
      <c r="AG878" s="9"/>
      <c r="AH878" s="8"/>
      <c r="AI878" s="8"/>
      <c r="AJ878" s="8"/>
    </row>
    <row r="879" spans="1:36" ht="11.25" customHeight="1" x14ac:dyDescent="0.1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9"/>
      <c r="AH879" s="8"/>
      <c r="AI879" s="8"/>
      <c r="AJ879" s="8"/>
    </row>
    <row r="880" spans="1:36" ht="11.25" customHeight="1" x14ac:dyDescent="0.1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  <c r="AC880" s="8"/>
      <c r="AD880" s="8"/>
      <c r="AE880" s="8"/>
      <c r="AF880" s="8"/>
      <c r="AG880" s="9"/>
      <c r="AH880" s="8"/>
      <c r="AI880" s="8"/>
      <c r="AJ880" s="8"/>
    </row>
    <row r="881" spans="1:36" ht="11.25" customHeight="1" x14ac:dyDescent="0.1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9"/>
      <c r="AH881" s="8"/>
      <c r="AI881" s="8"/>
      <c r="AJ881" s="8"/>
    </row>
    <row r="882" spans="1:36" ht="11.25" customHeight="1" x14ac:dyDescent="0.1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  <c r="AC882" s="8"/>
      <c r="AD882" s="8"/>
      <c r="AE882" s="8"/>
      <c r="AF882" s="8"/>
      <c r="AG882" s="9"/>
      <c r="AH882" s="8"/>
      <c r="AI882" s="8"/>
      <c r="AJ882" s="8"/>
    </row>
    <row r="883" spans="1:36" ht="11.25" customHeight="1" x14ac:dyDescent="0.1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  <c r="AC883" s="8"/>
      <c r="AD883" s="8"/>
      <c r="AE883" s="8"/>
      <c r="AF883" s="8"/>
      <c r="AG883" s="9"/>
      <c r="AH883" s="8"/>
      <c r="AI883" s="8"/>
      <c r="AJ883" s="8"/>
    </row>
    <row r="884" spans="1:36" ht="11.25" customHeight="1" x14ac:dyDescent="0.1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  <c r="AC884" s="8"/>
      <c r="AD884" s="8"/>
      <c r="AE884" s="8"/>
      <c r="AF884" s="8"/>
      <c r="AG884" s="9"/>
      <c r="AH884" s="8"/>
      <c r="AI884" s="8"/>
      <c r="AJ884" s="8"/>
    </row>
    <row r="885" spans="1:36" ht="11.25" customHeight="1" x14ac:dyDescent="0.1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  <c r="AC885" s="8"/>
      <c r="AD885" s="8"/>
      <c r="AE885" s="8"/>
      <c r="AF885" s="8"/>
      <c r="AG885" s="9"/>
      <c r="AH885" s="8"/>
      <c r="AI885" s="8"/>
      <c r="AJ885" s="8"/>
    </row>
    <row r="886" spans="1:36" ht="11.25" customHeight="1" x14ac:dyDescent="0.1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9"/>
      <c r="AH886" s="8"/>
      <c r="AI886" s="8"/>
      <c r="AJ886" s="8"/>
    </row>
    <row r="887" spans="1:36" ht="11.25" customHeight="1" x14ac:dyDescent="0.1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  <c r="AC887" s="8"/>
      <c r="AD887" s="8"/>
      <c r="AE887" s="8"/>
      <c r="AF887" s="8"/>
      <c r="AG887" s="9"/>
      <c r="AH887" s="8"/>
      <c r="AI887" s="8"/>
      <c r="AJ887" s="8"/>
    </row>
    <row r="888" spans="1:36" ht="11.25" customHeight="1" x14ac:dyDescent="0.1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9"/>
      <c r="AH888" s="8"/>
      <c r="AI888" s="8"/>
      <c r="AJ888" s="8"/>
    </row>
    <row r="889" spans="1:36" ht="11.25" customHeight="1" x14ac:dyDescent="0.1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  <c r="AC889" s="8"/>
      <c r="AD889" s="8"/>
      <c r="AE889" s="8"/>
      <c r="AF889" s="8"/>
      <c r="AG889" s="9"/>
      <c r="AH889" s="8"/>
      <c r="AI889" s="8"/>
      <c r="AJ889" s="8"/>
    </row>
    <row r="890" spans="1:36" ht="11.25" customHeight="1" x14ac:dyDescent="0.1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9"/>
      <c r="AH890" s="8"/>
      <c r="AI890" s="8"/>
      <c r="AJ890" s="8"/>
    </row>
    <row r="891" spans="1:36" ht="11.25" customHeight="1" x14ac:dyDescent="0.1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  <c r="AC891" s="8"/>
      <c r="AD891" s="8"/>
      <c r="AE891" s="8"/>
      <c r="AF891" s="8"/>
      <c r="AG891" s="9"/>
      <c r="AH891" s="8"/>
      <c r="AI891" s="8"/>
      <c r="AJ891" s="8"/>
    </row>
    <row r="892" spans="1:36" ht="11.25" customHeight="1" x14ac:dyDescent="0.1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  <c r="AC892" s="8"/>
      <c r="AD892" s="8"/>
      <c r="AE892" s="8"/>
      <c r="AF892" s="8"/>
      <c r="AG892" s="9"/>
      <c r="AH892" s="8"/>
      <c r="AI892" s="8"/>
      <c r="AJ892" s="8"/>
    </row>
    <row r="893" spans="1:36" ht="11.25" customHeight="1" x14ac:dyDescent="0.1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  <c r="AC893" s="8"/>
      <c r="AD893" s="8"/>
      <c r="AE893" s="8"/>
      <c r="AF893" s="8"/>
      <c r="AG893" s="9"/>
      <c r="AH893" s="8"/>
      <c r="AI893" s="8"/>
      <c r="AJ893" s="8"/>
    </row>
    <row r="894" spans="1:36" ht="11.25" customHeight="1" x14ac:dyDescent="0.1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  <c r="AC894" s="8"/>
      <c r="AD894" s="8"/>
      <c r="AE894" s="8"/>
      <c r="AF894" s="8"/>
      <c r="AG894" s="9"/>
      <c r="AH894" s="8"/>
      <c r="AI894" s="8"/>
      <c r="AJ894" s="8"/>
    </row>
    <row r="895" spans="1:36" ht="11.25" customHeight="1" x14ac:dyDescent="0.1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  <c r="AC895" s="8"/>
      <c r="AD895" s="8"/>
      <c r="AE895" s="8"/>
      <c r="AF895" s="8"/>
      <c r="AG895" s="9"/>
      <c r="AH895" s="8"/>
      <c r="AI895" s="8"/>
      <c r="AJ895" s="8"/>
    </row>
    <row r="896" spans="1:36" ht="11.25" customHeight="1" x14ac:dyDescent="0.1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  <c r="AC896" s="8"/>
      <c r="AD896" s="8"/>
      <c r="AE896" s="8"/>
      <c r="AF896" s="8"/>
      <c r="AG896" s="9"/>
      <c r="AH896" s="8"/>
      <c r="AI896" s="8"/>
      <c r="AJ896" s="8"/>
    </row>
    <row r="897" spans="1:36" ht="11.25" customHeight="1" x14ac:dyDescent="0.1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  <c r="AC897" s="8"/>
      <c r="AD897" s="8"/>
      <c r="AE897" s="8"/>
      <c r="AF897" s="8"/>
      <c r="AG897" s="9"/>
      <c r="AH897" s="8"/>
      <c r="AI897" s="8"/>
      <c r="AJ897" s="8"/>
    </row>
    <row r="898" spans="1:36" ht="11.25" customHeight="1" x14ac:dyDescent="0.1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  <c r="AC898" s="8"/>
      <c r="AD898" s="8"/>
      <c r="AE898" s="8"/>
      <c r="AF898" s="8"/>
      <c r="AG898" s="9"/>
      <c r="AH898" s="8"/>
      <c r="AI898" s="8"/>
      <c r="AJ898" s="8"/>
    </row>
    <row r="899" spans="1:36" ht="11.25" customHeight="1" x14ac:dyDescent="0.1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  <c r="AC899" s="8"/>
      <c r="AD899" s="8"/>
      <c r="AE899" s="8"/>
      <c r="AF899" s="8"/>
      <c r="AG899" s="9"/>
      <c r="AH899" s="8"/>
      <c r="AI899" s="8"/>
      <c r="AJ899" s="8"/>
    </row>
    <row r="900" spans="1:36" ht="11.25" customHeight="1" x14ac:dyDescent="0.1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  <c r="AC900" s="8"/>
      <c r="AD900" s="8"/>
      <c r="AE900" s="8"/>
      <c r="AF900" s="8"/>
      <c r="AG900" s="9"/>
      <c r="AH900" s="8"/>
      <c r="AI900" s="8"/>
      <c r="AJ900" s="8"/>
    </row>
    <row r="901" spans="1:36" ht="11.25" customHeight="1" x14ac:dyDescent="0.1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  <c r="AC901" s="8"/>
      <c r="AD901" s="8"/>
      <c r="AE901" s="8"/>
      <c r="AF901" s="8"/>
      <c r="AG901" s="9"/>
      <c r="AH901" s="8"/>
      <c r="AI901" s="8"/>
      <c r="AJ901" s="8"/>
    </row>
    <row r="902" spans="1:36" ht="11.25" customHeight="1" x14ac:dyDescent="0.1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  <c r="AC902" s="8"/>
      <c r="AD902" s="8"/>
      <c r="AE902" s="8"/>
      <c r="AF902" s="8"/>
      <c r="AG902" s="9"/>
      <c r="AH902" s="8"/>
      <c r="AI902" s="8"/>
      <c r="AJ902" s="8"/>
    </row>
    <row r="903" spans="1:36" ht="11.25" customHeight="1" x14ac:dyDescent="0.1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  <c r="AC903" s="8"/>
      <c r="AD903" s="8"/>
      <c r="AE903" s="8"/>
      <c r="AF903" s="8"/>
      <c r="AG903" s="9"/>
      <c r="AH903" s="8"/>
      <c r="AI903" s="8"/>
      <c r="AJ903" s="8"/>
    </row>
    <row r="904" spans="1:36" ht="11.25" customHeight="1" x14ac:dyDescent="0.1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  <c r="AC904" s="8"/>
      <c r="AD904" s="8"/>
      <c r="AE904" s="8"/>
      <c r="AF904" s="8"/>
      <c r="AG904" s="9"/>
      <c r="AH904" s="8"/>
      <c r="AI904" s="8"/>
      <c r="AJ904" s="8"/>
    </row>
    <row r="905" spans="1:36" ht="11.25" customHeight="1" x14ac:dyDescent="0.1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  <c r="AC905" s="8"/>
      <c r="AD905" s="8"/>
      <c r="AE905" s="8"/>
      <c r="AF905" s="8"/>
      <c r="AG905" s="9"/>
      <c r="AH905" s="8"/>
      <c r="AI905" s="8"/>
      <c r="AJ905" s="8"/>
    </row>
    <row r="906" spans="1:36" ht="11.25" customHeight="1" x14ac:dyDescent="0.1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  <c r="AC906" s="8"/>
      <c r="AD906" s="8"/>
      <c r="AE906" s="8"/>
      <c r="AF906" s="8"/>
      <c r="AG906" s="9"/>
      <c r="AH906" s="8"/>
      <c r="AI906" s="8"/>
      <c r="AJ906" s="8"/>
    </row>
    <row r="907" spans="1:36" ht="11.25" customHeight="1" x14ac:dyDescent="0.1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9"/>
      <c r="AH907" s="8"/>
      <c r="AI907" s="8"/>
      <c r="AJ907" s="8"/>
    </row>
    <row r="908" spans="1:36" ht="11.25" customHeight="1" x14ac:dyDescent="0.1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9"/>
      <c r="AH908" s="8"/>
      <c r="AI908" s="8"/>
      <c r="AJ908" s="8"/>
    </row>
    <row r="909" spans="1:36" ht="11.25" customHeight="1" x14ac:dyDescent="0.1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  <c r="AC909" s="8"/>
      <c r="AD909" s="8"/>
      <c r="AE909" s="8"/>
      <c r="AF909" s="8"/>
      <c r="AG909" s="9"/>
      <c r="AH909" s="8"/>
      <c r="AI909" s="8"/>
      <c r="AJ909" s="8"/>
    </row>
    <row r="910" spans="1:36" ht="11.25" customHeight="1" x14ac:dyDescent="0.1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9"/>
      <c r="AH910" s="8"/>
      <c r="AI910" s="8"/>
      <c r="AJ910" s="8"/>
    </row>
    <row r="911" spans="1:36" ht="11.25" customHeight="1" x14ac:dyDescent="0.1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  <c r="AC911" s="8"/>
      <c r="AD911" s="8"/>
      <c r="AE911" s="8"/>
      <c r="AF911" s="8"/>
      <c r="AG911" s="9"/>
      <c r="AH911" s="8"/>
      <c r="AI911" s="8"/>
      <c r="AJ911" s="8"/>
    </row>
    <row r="912" spans="1:36" ht="11.25" customHeight="1" x14ac:dyDescent="0.1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9"/>
      <c r="AH912" s="8"/>
      <c r="AI912" s="8"/>
      <c r="AJ912" s="8"/>
    </row>
    <row r="913" spans="1:36" ht="11.25" customHeight="1" x14ac:dyDescent="0.1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  <c r="AC913" s="8"/>
      <c r="AD913" s="8"/>
      <c r="AE913" s="8"/>
      <c r="AF913" s="8"/>
      <c r="AG913" s="9"/>
      <c r="AH913" s="8"/>
      <c r="AI913" s="8"/>
      <c r="AJ913" s="8"/>
    </row>
    <row r="914" spans="1:36" ht="11.25" customHeight="1" x14ac:dyDescent="0.1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  <c r="AC914" s="8"/>
      <c r="AD914" s="8"/>
      <c r="AE914" s="8"/>
      <c r="AF914" s="8"/>
      <c r="AG914" s="9"/>
      <c r="AH914" s="8"/>
      <c r="AI914" s="8"/>
      <c r="AJ914" s="8"/>
    </row>
    <row r="915" spans="1:36" ht="11.25" customHeight="1" x14ac:dyDescent="0.1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  <c r="AC915" s="8"/>
      <c r="AD915" s="8"/>
      <c r="AE915" s="8"/>
      <c r="AF915" s="8"/>
      <c r="AG915" s="9"/>
      <c r="AH915" s="8"/>
      <c r="AI915" s="8"/>
      <c r="AJ915" s="8"/>
    </row>
    <row r="916" spans="1:36" ht="11.25" customHeight="1" x14ac:dyDescent="0.1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  <c r="AC916" s="8"/>
      <c r="AD916" s="8"/>
      <c r="AE916" s="8"/>
      <c r="AF916" s="8"/>
      <c r="AG916" s="9"/>
      <c r="AH916" s="8"/>
      <c r="AI916" s="8"/>
      <c r="AJ916" s="8"/>
    </row>
    <row r="917" spans="1:36" ht="11.25" customHeight="1" x14ac:dyDescent="0.1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9"/>
      <c r="AH917" s="8"/>
      <c r="AI917" s="8"/>
      <c r="AJ917" s="8"/>
    </row>
    <row r="918" spans="1:36" ht="11.25" customHeight="1" x14ac:dyDescent="0.1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  <c r="AC918" s="8"/>
      <c r="AD918" s="8"/>
      <c r="AE918" s="8"/>
      <c r="AF918" s="8"/>
      <c r="AG918" s="9"/>
      <c r="AH918" s="8"/>
      <c r="AI918" s="8"/>
      <c r="AJ918" s="8"/>
    </row>
    <row r="919" spans="1:36" ht="11.25" customHeight="1" x14ac:dyDescent="0.1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9"/>
      <c r="AH919" s="8"/>
      <c r="AI919" s="8"/>
      <c r="AJ919" s="8"/>
    </row>
    <row r="920" spans="1:36" ht="11.25" customHeight="1" x14ac:dyDescent="0.1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9"/>
      <c r="AH920" s="8"/>
      <c r="AI920" s="8"/>
      <c r="AJ920" s="8"/>
    </row>
    <row r="921" spans="1:36" ht="11.25" customHeight="1" x14ac:dyDescent="0.1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  <c r="AC921" s="8"/>
      <c r="AD921" s="8"/>
      <c r="AE921" s="8"/>
      <c r="AF921" s="8"/>
      <c r="AG921" s="9"/>
      <c r="AH921" s="8"/>
      <c r="AI921" s="8"/>
      <c r="AJ921" s="8"/>
    </row>
    <row r="922" spans="1:36" ht="11.25" customHeight="1" x14ac:dyDescent="0.1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9"/>
      <c r="AH922" s="8"/>
      <c r="AI922" s="8"/>
      <c r="AJ922" s="8"/>
    </row>
    <row r="923" spans="1:36" ht="11.25" customHeight="1" x14ac:dyDescent="0.1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9"/>
      <c r="AH923" s="8"/>
      <c r="AI923" s="8"/>
      <c r="AJ923" s="8"/>
    </row>
    <row r="924" spans="1:36" ht="11.25" customHeight="1" x14ac:dyDescent="0.1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  <c r="AC924" s="8"/>
      <c r="AD924" s="8"/>
      <c r="AE924" s="8"/>
      <c r="AF924" s="8"/>
      <c r="AG924" s="9"/>
      <c r="AH924" s="8"/>
      <c r="AI924" s="8"/>
      <c r="AJ924" s="8"/>
    </row>
    <row r="925" spans="1:36" ht="11.25" customHeight="1" x14ac:dyDescent="0.1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9"/>
      <c r="AH925" s="8"/>
      <c r="AI925" s="8"/>
      <c r="AJ925" s="8"/>
    </row>
    <row r="926" spans="1:36" ht="11.25" customHeight="1" x14ac:dyDescent="0.1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  <c r="AC926" s="8"/>
      <c r="AD926" s="8"/>
      <c r="AE926" s="8"/>
      <c r="AF926" s="8"/>
      <c r="AG926" s="9"/>
      <c r="AH926" s="8"/>
      <c r="AI926" s="8"/>
      <c r="AJ926" s="8"/>
    </row>
    <row r="927" spans="1:36" ht="11.25" customHeight="1" x14ac:dyDescent="0.1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  <c r="AC927" s="8"/>
      <c r="AD927" s="8"/>
      <c r="AE927" s="8"/>
      <c r="AF927" s="8"/>
      <c r="AG927" s="9"/>
      <c r="AH927" s="8"/>
      <c r="AI927" s="8"/>
      <c r="AJ927" s="8"/>
    </row>
    <row r="928" spans="1:36" ht="11.25" customHeight="1" x14ac:dyDescent="0.1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  <c r="AC928" s="8"/>
      <c r="AD928" s="8"/>
      <c r="AE928" s="8"/>
      <c r="AF928" s="8"/>
      <c r="AG928" s="9"/>
      <c r="AH928" s="8"/>
      <c r="AI928" s="8"/>
      <c r="AJ928" s="8"/>
    </row>
    <row r="929" spans="1:36" ht="11.25" customHeight="1" x14ac:dyDescent="0.1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  <c r="AC929" s="8"/>
      <c r="AD929" s="8"/>
      <c r="AE929" s="8"/>
      <c r="AF929" s="8"/>
      <c r="AG929" s="9"/>
      <c r="AH929" s="8"/>
      <c r="AI929" s="8"/>
      <c r="AJ929" s="8"/>
    </row>
    <row r="930" spans="1:36" ht="11.25" customHeight="1" x14ac:dyDescent="0.1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  <c r="AC930" s="8"/>
      <c r="AD930" s="8"/>
      <c r="AE930" s="8"/>
      <c r="AF930" s="8"/>
      <c r="AG930" s="9"/>
      <c r="AH930" s="8"/>
      <c r="AI930" s="8"/>
      <c r="AJ930" s="8"/>
    </row>
    <row r="931" spans="1:36" ht="11.25" customHeight="1" x14ac:dyDescent="0.1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  <c r="AC931" s="8"/>
      <c r="AD931" s="8"/>
      <c r="AE931" s="8"/>
      <c r="AF931" s="8"/>
      <c r="AG931" s="9"/>
      <c r="AH931" s="8"/>
      <c r="AI931" s="8"/>
      <c r="AJ931" s="8"/>
    </row>
    <row r="932" spans="1:36" ht="11.25" customHeight="1" x14ac:dyDescent="0.1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  <c r="AC932" s="8"/>
      <c r="AD932" s="8"/>
      <c r="AE932" s="8"/>
      <c r="AF932" s="8"/>
      <c r="AG932" s="9"/>
      <c r="AH932" s="8"/>
      <c r="AI932" s="8"/>
      <c r="AJ932" s="8"/>
    </row>
    <row r="933" spans="1:36" ht="11.25" customHeight="1" x14ac:dyDescent="0.1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9"/>
      <c r="AH933" s="8"/>
      <c r="AI933" s="8"/>
      <c r="AJ933" s="8"/>
    </row>
    <row r="934" spans="1:36" ht="11.25" customHeight="1" x14ac:dyDescent="0.1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  <c r="AC934" s="8"/>
      <c r="AD934" s="8"/>
      <c r="AE934" s="8"/>
      <c r="AF934" s="8"/>
      <c r="AG934" s="9"/>
      <c r="AH934" s="8"/>
      <c r="AI934" s="8"/>
      <c r="AJ934" s="8"/>
    </row>
    <row r="935" spans="1:36" ht="11.25" customHeight="1" x14ac:dyDescent="0.1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9"/>
      <c r="AH935" s="8"/>
      <c r="AI935" s="8"/>
      <c r="AJ935" s="8"/>
    </row>
    <row r="936" spans="1:36" ht="11.25" customHeight="1" x14ac:dyDescent="0.1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  <c r="AC936" s="8"/>
      <c r="AD936" s="8"/>
      <c r="AE936" s="8"/>
      <c r="AF936" s="8"/>
      <c r="AG936" s="9"/>
      <c r="AH936" s="8"/>
      <c r="AI936" s="8"/>
      <c r="AJ936" s="8"/>
    </row>
    <row r="937" spans="1:36" ht="11.25" customHeight="1" x14ac:dyDescent="0.1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  <c r="AC937" s="8"/>
      <c r="AD937" s="8"/>
      <c r="AE937" s="8"/>
      <c r="AF937" s="8"/>
      <c r="AG937" s="9"/>
      <c r="AH937" s="8"/>
      <c r="AI937" s="8"/>
      <c r="AJ937" s="8"/>
    </row>
    <row r="938" spans="1:36" ht="11.25" customHeight="1" x14ac:dyDescent="0.1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  <c r="AC938" s="8"/>
      <c r="AD938" s="8"/>
      <c r="AE938" s="8"/>
      <c r="AF938" s="8"/>
      <c r="AG938" s="9"/>
      <c r="AH938" s="8"/>
      <c r="AI938" s="8"/>
      <c r="AJ938" s="8"/>
    </row>
    <row r="939" spans="1:36" ht="11.25" customHeight="1" x14ac:dyDescent="0.1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  <c r="AC939" s="8"/>
      <c r="AD939" s="8"/>
      <c r="AE939" s="8"/>
      <c r="AF939" s="8"/>
      <c r="AG939" s="9"/>
      <c r="AH939" s="8"/>
      <c r="AI939" s="8"/>
      <c r="AJ939" s="8"/>
    </row>
    <row r="940" spans="1:36" ht="11.25" customHeight="1" x14ac:dyDescent="0.1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  <c r="AC940" s="8"/>
      <c r="AD940" s="8"/>
      <c r="AE940" s="8"/>
      <c r="AF940" s="8"/>
      <c r="AG940" s="9"/>
      <c r="AH940" s="8"/>
      <c r="AI940" s="8"/>
      <c r="AJ940" s="8"/>
    </row>
    <row r="941" spans="1:36" ht="11.25" customHeight="1" x14ac:dyDescent="0.1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  <c r="AC941" s="8"/>
      <c r="AD941" s="8"/>
      <c r="AE941" s="8"/>
      <c r="AF941" s="8"/>
      <c r="AG941" s="9"/>
      <c r="AH941" s="8"/>
      <c r="AI941" s="8"/>
      <c r="AJ941" s="8"/>
    </row>
    <row r="942" spans="1:36" ht="11.25" customHeight="1" x14ac:dyDescent="0.1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  <c r="AC942" s="8"/>
      <c r="AD942" s="8"/>
      <c r="AE942" s="8"/>
      <c r="AF942" s="8"/>
      <c r="AG942" s="9"/>
      <c r="AH942" s="8"/>
      <c r="AI942" s="8"/>
      <c r="AJ942" s="8"/>
    </row>
    <row r="943" spans="1:36" ht="11.25" customHeight="1" x14ac:dyDescent="0.1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  <c r="AC943" s="8"/>
      <c r="AD943" s="8"/>
      <c r="AE943" s="8"/>
      <c r="AF943" s="8"/>
      <c r="AG943" s="9"/>
      <c r="AH943" s="8"/>
      <c r="AI943" s="8"/>
      <c r="AJ943" s="8"/>
    </row>
    <row r="944" spans="1:36" ht="11.25" customHeight="1" x14ac:dyDescent="0.1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  <c r="AC944" s="8"/>
      <c r="AD944" s="8"/>
      <c r="AE944" s="8"/>
      <c r="AF944" s="8"/>
      <c r="AG944" s="9"/>
      <c r="AH944" s="8"/>
      <c r="AI944" s="8"/>
      <c r="AJ944" s="8"/>
    </row>
    <row r="945" spans="1:36" ht="11.25" customHeight="1" x14ac:dyDescent="0.1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  <c r="AC945" s="8"/>
      <c r="AD945" s="8"/>
      <c r="AE945" s="8"/>
      <c r="AF945" s="8"/>
      <c r="AG945" s="9"/>
      <c r="AH945" s="8"/>
      <c r="AI945" s="8"/>
      <c r="AJ945" s="8"/>
    </row>
    <row r="946" spans="1:36" ht="11.25" customHeight="1" x14ac:dyDescent="0.1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  <c r="AC946" s="8"/>
      <c r="AD946" s="8"/>
      <c r="AE946" s="8"/>
      <c r="AF946" s="8"/>
      <c r="AG946" s="9"/>
      <c r="AH946" s="8"/>
      <c r="AI946" s="8"/>
      <c r="AJ946" s="8"/>
    </row>
    <row r="947" spans="1:36" ht="11.25" customHeight="1" x14ac:dyDescent="0.1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  <c r="AC947" s="8"/>
      <c r="AD947" s="8"/>
      <c r="AE947" s="8"/>
      <c r="AF947" s="8"/>
      <c r="AG947" s="9"/>
      <c r="AH947" s="8"/>
      <c r="AI947" s="8"/>
      <c r="AJ947" s="8"/>
    </row>
    <row r="948" spans="1:36" ht="11.25" customHeight="1" x14ac:dyDescent="0.1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  <c r="AC948" s="8"/>
      <c r="AD948" s="8"/>
      <c r="AE948" s="8"/>
      <c r="AF948" s="8"/>
      <c r="AG948" s="9"/>
      <c r="AH948" s="8"/>
      <c r="AI948" s="8"/>
      <c r="AJ948" s="8"/>
    </row>
    <row r="949" spans="1:36" ht="11.25" customHeight="1" x14ac:dyDescent="0.1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9"/>
      <c r="AH949" s="8"/>
      <c r="AI949" s="8"/>
      <c r="AJ949" s="8"/>
    </row>
    <row r="950" spans="1:36" ht="11.25" customHeight="1" x14ac:dyDescent="0.1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9"/>
      <c r="AH950" s="8"/>
      <c r="AI950" s="8"/>
      <c r="AJ950" s="8"/>
    </row>
    <row r="951" spans="1:36" ht="11.25" customHeight="1" x14ac:dyDescent="0.1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  <c r="AC951" s="8"/>
      <c r="AD951" s="8"/>
      <c r="AE951" s="8"/>
      <c r="AF951" s="8"/>
      <c r="AG951" s="9"/>
      <c r="AH951" s="8"/>
      <c r="AI951" s="8"/>
      <c r="AJ951" s="8"/>
    </row>
    <row r="952" spans="1:36" ht="11.25" customHeight="1" x14ac:dyDescent="0.1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9"/>
      <c r="AH952" s="8"/>
      <c r="AI952" s="8"/>
      <c r="AJ952" s="8"/>
    </row>
    <row r="953" spans="1:36" ht="11.25" customHeight="1" x14ac:dyDescent="0.1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  <c r="AC953" s="8"/>
      <c r="AD953" s="8"/>
      <c r="AE953" s="8"/>
      <c r="AF953" s="8"/>
      <c r="AG953" s="9"/>
      <c r="AH953" s="8"/>
      <c r="AI953" s="8"/>
      <c r="AJ953" s="8"/>
    </row>
    <row r="954" spans="1:36" ht="11.25" customHeight="1" x14ac:dyDescent="0.1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9"/>
      <c r="AH954" s="8"/>
      <c r="AI954" s="8"/>
      <c r="AJ954" s="8"/>
    </row>
    <row r="955" spans="1:36" ht="11.25" customHeight="1" x14ac:dyDescent="0.1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  <c r="AC955" s="8"/>
      <c r="AD955" s="8"/>
      <c r="AE955" s="8"/>
      <c r="AF955" s="8"/>
      <c r="AG955" s="9"/>
      <c r="AH955" s="8"/>
      <c r="AI955" s="8"/>
      <c r="AJ955" s="8"/>
    </row>
    <row r="956" spans="1:36" ht="11.25" customHeight="1" x14ac:dyDescent="0.1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  <c r="AC956" s="8"/>
      <c r="AD956" s="8"/>
      <c r="AE956" s="8"/>
      <c r="AF956" s="8"/>
      <c r="AG956" s="9"/>
      <c r="AH956" s="8"/>
      <c r="AI956" s="8"/>
      <c r="AJ956" s="8"/>
    </row>
    <row r="957" spans="1:36" ht="11.25" customHeight="1" x14ac:dyDescent="0.1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  <c r="AC957" s="8"/>
      <c r="AD957" s="8"/>
      <c r="AE957" s="8"/>
      <c r="AF957" s="8"/>
      <c r="AG957" s="9"/>
      <c r="AH957" s="8"/>
      <c r="AI957" s="8"/>
      <c r="AJ957" s="8"/>
    </row>
    <row r="958" spans="1:36" ht="11.25" customHeight="1" x14ac:dyDescent="0.1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  <c r="AC958" s="8"/>
      <c r="AD958" s="8"/>
      <c r="AE958" s="8"/>
      <c r="AF958" s="8"/>
      <c r="AG958" s="9"/>
      <c r="AH958" s="8"/>
      <c r="AI958" s="8"/>
      <c r="AJ958" s="8"/>
    </row>
    <row r="959" spans="1:36" ht="11.25" customHeight="1" x14ac:dyDescent="0.1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9"/>
      <c r="AH959" s="8"/>
      <c r="AI959" s="8"/>
      <c r="AJ959" s="8"/>
    </row>
    <row r="960" spans="1:36" ht="11.25" customHeight="1" x14ac:dyDescent="0.1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  <c r="AC960" s="8"/>
      <c r="AD960" s="8"/>
      <c r="AE960" s="8"/>
      <c r="AF960" s="8"/>
      <c r="AG960" s="9"/>
      <c r="AH960" s="8"/>
      <c r="AI960" s="8"/>
      <c r="AJ960" s="8"/>
    </row>
    <row r="961" spans="1:36" ht="11.25" customHeight="1" x14ac:dyDescent="0.1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9"/>
      <c r="AH961" s="8"/>
      <c r="AI961" s="8"/>
      <c r="AJ961" s="8"/>
    </row>
    <row r="962" spans="1:36" ht="11.25" customHeight="1" x14ac:dyDescent="0.1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9"/>
      <c r="AH962" s="8"/>
      <c r="AI962" s="8"/>
      <c r="AJ962" s="8"/>
    </row>
    <row r="963" spans="1:36" ht="11.25" customHeight="1" x14ac:dyDescent="0.1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  <c r="AC963" s="8"/>
      <c r="AD963" s="8"/>
      <c r="AE963" s="8"/>
      <c r="AF963" s="8"/>
      <c r="AG963" s="9"/>
      <c r="AH963" s="8"/>
      <c r="AI963" s="8"/>
      <c r="AJ963" s="8"/>
    </row>
    <row r="964" spans="1:36" ht="11.25" customHeight="1" x14ac:dyDescent="0.1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9"/>
      <c r="AH964" s="8"/>
      <c r="AI964" s="8"/>
      <c r="AJ964" s="8"/>
    </row>
    <row r="965" spans="1:36" ht="11.25" customHeight="1" x14ac:dyDescent="0.1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9"/>
      <c r="AH965" s="8"/>
      <c r="AI965" s="8"/>
      <c r="AJ965" s="8"/>
    </row>
    <row r="966" spans="1:36" ht="11.25" customHeight="1" x14ac:dyDescent="0.1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  <c r="AC966" s="8"/>
      <c r="AD966" s="8"/>
      <c r="AE966" s="8"/>
      <c r="AF966" s="8"/>
      <c r="AG966" s="9"/>
      <c r="AH966" s="8"/>
      <c r="AI966" s="8"/>
      <c r="AJ966" s="8"/>
    </row>
    <row r="967" spans="1:36" ht="11.25" customHeight="1" x14ac:dyDescent="0.1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9"/>
      <c r="AH967" s="8"/>
      <c r="AI967" s="8"/>
      <c r="AJ967" s="8"/>
    </row>
    <row r="968" spans="1:36" ht="11.25" customHeight="1" x14ac:dyDescent="0.1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  <c r="AC968" s="8"/>
      <c r="AD968" s="8"/>
      <c r="AE968" s="8"/>
      <c r="AF968" s="8"/>
      <c r="AG968" s="9"/>
      <c r="AH968" s="8"/>
      <c r="AI968" s="8"/>
      <c r="AJ968" s="8"/>
    </row>
    <row r="969" spans="1:36" ht="11.25" customHeight="1" x14ac:dyDescent="0.1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  <c r="AC969" s="8"/>
      <c r="AD969" s="8"/>
      <c r="AE969" s="8"/>
      <c r="AF969" s="8"/>
      <c r="AG969" s="9"/>
      <c r="AH969" s="8"/>
      <c r="AI969" s="8"/>
      <c r="AJ969" s="8"/>
    </row>
    <row r="970" spans="1:36" ht="11.25" customHeight="1" x14ac:dyDescent="0.1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  <c r="AC970" s="8"/>
      <c r="AD970" s="8"/>
      <c r="AE970" s="8"/>
      <c r="AF970" s="8"/>
      <c r="AG970" s="9"/>
      <c r="AH970" s="8"/>
      <c r="AI970" s="8"/>
      <c r="AJ970" s="8"/>
    </row>
    <row r="971" spans="1:36" ht="11.25" customHeight="1" x14ac:dyDescent="0.1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  <c r="AC971" s="8"/>
      <c r="AD971" s="8"/>
      <c r="AE971" s="8"/>
      <c r="AF971" s="8"/>
      <c r="AG971" s="9"/>
      <c r="AH971" s="8"/>
      <c r="AI971" s="8"/>
      <c r="AJ971" s="8"/>
    </row>
    <row r="972" spans="1:36" ht="11.25" customHeight="1" x14ac:dyDescent="0.1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  <c r="AC972" s="8"/>
      <c r="AD972" s="8"/>
      <c r="AE972" s="8"/>
      <c r="AF972" s="8"/>
      <c r="AG972" s="9"/>
      <c r="AH972" s="8"/>
      <c r="AI972" s="8"/>
      <c r="AJ972" s="8"/>
    </row>
    <row r="973" spans="1:36" ht="11.25" customHeight="1" x14ac:dyDescent="0.1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  <c r="AC973" s="8"/>
      <c r="AD973" s="8"/>
      <c r="AE973" s="8"/>
      <c r="AF973" s="8"/>
      <c r="AG973" s="9"/>
      <c r="AH973" s="8"/>
      <c r="AI973" s="8"/>
      <c r="AJ973" s="8"/>
    </row>
    <row r="974" spans="1:36" ht="11.25" customHeight="1" x14ac:dyDescent="0.1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  <c r="AC974" s="8"/>
      <c r="AD974" s="8"/>
      <c r="AE974" s="8"/>
      <c r="AF974" s="8"/>
      <c r="AG974" s="9"/>
      <c r="AH974" s="8"/>
      <c r="AI974" s="8"/>
      <c r="AJ974" s="8"/>
    </row>
    <row r="975" spans="1:36" ht="11.25" customHeight="1" x14ac:dyDescent="0.1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9"/>
      <c r="AH975" s="8"/>
      <c r="AI975" s="8"/>
      <c r="AJ975" s="8"/>
    </row>
    <row r="976" spans="1:36" ht="11.25" customHeight="1" x14ac:dyDescent="0.1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  <c r="AC976" s="8"/>
      <c r="AD976" s="8"/>
      <c r="AE976" s="8"/>
      <c r="AF976" s="8"/>
      <c r="AG976" s="9"/>
      <c r="AH976" s="8"/>
      <c r="AI976" s="8"/>
      <c r="AJ976" s="8"/>
    </row>
    <row r="977" spans="1:36" ht="11.25" customHeight="1" x14ac:dyDescent="0.1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9"/>
      <c r="AH977" s="8"/>
      <c r="AI977" s="8"/>
      <c r="AJ977" s="8"/>
    </row>
    <row r="978" spans="1:36" ht="11.25" customHeight="1" x14ac:dyDescent="0.1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  <c r="AC978" s="8"/>
      <c r="AD978" s="8"/>
      <c r="AE978" s="8"/>
      <c r="AF978" s="8"/>
      <c r="AG978" s="9"/>
      <c r="AH978" s="8"/>
      <c r="AI978" s="8"/>
      <c r="AJ978" s="8"/>
    </row>
    <row r="979" spans="1:36" ht="11.25" customHeight="1" x14ac:dyDescent="0.1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9"/>
      <c r="AH979" s="8"/>
      <c r="AI979" s="8"/>
      <c r="AJ979" s="8"/>
    </row>
    <row r="980" spans="1:36" ht="11.25" customHeight="1" x14ac:dyDescent="0.1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  <c r="AC980" s="8"/>
      <c r="AD980" s="8"/>
      <c r="AE980" s="8"/>
      <c r="AF980" s="8"/>
      <c r="AG980" s="9"/>
      <c r="AH980" s="8"/>
      <c r="AI980" s="8"/>
      <c r="AJ980" s="8"/>
    </row>
    <row r="981" spans="1:36" ht="11.25" customHeight="1" x14ac:dyDescent="0.1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  <c r="AC981" s="8"/>
      <c r="AD981" s="8"/>
      <c r="AE981" s="8"/>
      <c r="AF981" s="8"/>
      <c r="AG981" s="9"/>
      <c r="AH981" s="8"/>
      <c r="AI981" s="8"/>
      <c r="AJ981" s="8"/>
    </row>
    <row r="982" spans="1:36" ht="11.25" customHeight="1" x14ac:dyDescent="0.1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  <c r="AC982" s="8"/>
      <c r="AD982" s="8"/>
      <c r="AE982" s="8"/>
      <c r="AF982" s="8"/>
      <c r="AG982" s="9"/>
      <c r="AH982" s="8"/>
      <c r="AI982" s="8"/>
      <c r="AJ982" s="8"/>
    </row>
    <row r="983" spans="1:36" ht="11.25" customHeight="1" x14ac:dyDescent="0.1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  <c r="AC983" s="8"/>
      <c r="AD983" s="8"/>
      <c r="AE983" s="8"/>
      <c r="AF983" s="8"/>
      <c r="AG983" s="9"/>
      <c r="AH983" s="8"/>
      <c r="AI983" s="8"/>
      <c r="AJ983" s="8"/>
    </row>
    <row r="984" spans="1:36" ht="11.25" customHeight="1" x14ac:dyDescent="0.1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9"/>
      <c r="AH984" s="8"/>
      <c r="AI984" s="8"/>
      <c r="AJ984" s="8"/>
    </row>
    <row r="985" spans="1:36" ht="11.25" customHeight="1" x14ac:dyDescent="0.1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  <c r="AC985" s="8"/>
      <c r="AD985" s="8"/>
      <c r="AE985" s="8"/>
      <c r="AF985" s="8"/>
      <c r="AG985" s="9"/>
      <c r="AH985" s="8"/>
      <c r="AI985" s="8"/>
      <c r="AJ985" s="8"/>
    </row>
    <row r="986" spans="1:36" ht="11.25" customHeight="1" x14ac:dyDescent="0.1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9"/>
      <c r="AH986" s="8"/>
      <c r="AI986" s="8"/>
      <c r="AJ986" s="8"/>
    </row>
    <row r="987" spans="1:36" ht="11.25" customHeight="1" x14ac:dyDescent="0.1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  <c r="AC987" s="8"/>
      <c r="AD987" s="8"/>
      <c r="AE987" s="8"/>
      <c r="AF987" s="8"/>
      <c r="AG987" s="9"/>
      <c r="AH987" s="8"/>
      <c r="AI987" s="8"/>
      <c r="AJ987" s="8"/>
    </row>
    <row r="988" spans="1:36" ht="11.25" customHeight="1" x14ac:dyDescent="0.1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9"/>
      <c r="AH988" s="8"/>
      <c r="AI988" s="8"/>
      <c r="AJ988" s="8"/>
    </row>
    <row r="989" spans="1:36" ht="11.25" customHeight="1" x14ac:dyDescent="0.1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  <c r="AC989" s="8"/>
      <c r="AD989" s="8"/>
      <c r="AE989" s="8"/>
      <c r="AF989" s="8"/>
      <c r="AG989" s="9"/>
      <c r="AH989" s="8"/>
      <c r="AI989" s="8"/>
      <c r="AJ989" s="8"/>
    </row>
    <row r="990" spans="1:36" ht="11.25" customHeight="1" x14ac:dyDescent="0.1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  <c r="AC990" s="8"/>
      <c r="AD990" s="8"/>
      <c r="AE990" s="8"/>
      <c r="AF990" s="8"/>
      <c r="AG990" s="9"/>
      <c r="AH990" s="8"/>
      <c r="AI990" s="8"/>
      <c r="AJ990" s="8"/>
    </row>
    <row r="991" spans="1:36" ht="11.25" customHeight="1" x14ac:dyDescent="0.1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  <c r="AC991" s="8"/>
      <c r="AD991" s="8"/>
      <c r="AE991" s="8"/>
      <c r="AF991" s="8"/>
      <c r="AG991" s="9"/>
      <c r="AH991" s="8"/>
      <c r="AI991" s="8"/>
      <c r="AJ991" s="8"/>
    </row>
    <row r="992" spans="1:36" ht="11.25" customHeight="1" x14ac:dyDescent="0.1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  <c r="AC992" s="8"/>
      <c r="AD992" s="8"/>
      <c r="AE992" s="8"/>
      <c r="AF992" s="8"/>
      <c r="AG992" s="9"/>
      <c r="AH992" s="8"/>
      <c r="AI992" s="8"/>
      <c r="AJ992" s="8"/>
    </row>
    <row r="993" spans="1:36" ht="11.25" customHeight="1" x14ac:dyDescent="0.1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  <c r="AC993" s="8"/>
      <c r="AD993" s="8"/>
      <c r="AE993" s="8"/>
      <c r="AF993" s="8"/>
      <c r="AG993" s="9"/>
      <c r="AH993" s="8"/>
      <c r="AI993" s="8"/>
      <c r="AJ993" s="8"/>
    </row>
    <row r="994" spans="1:36" ht="11.25" customHeight="1" x14ac:dyDescent="0.1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  <c r="AC994" s="8"/>
      <c r="AD994" s="8"/>
      <c r="AE994" s="8"/>
      <c r="AF994" s="8"/>
      <c r="AG994" s="9"/>
      <c r="AH994" s="8"/>
      <c r="AI994" s="8"/>
      <c r="AJ994" s="8"/>
    </row>
    <row r="995" spans="1:36" ht="11.25" customHeight="1" x14ac:dyDescent="0.1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  <c r="AC995" s="8"/>
      <c r="AD995" s="8"/>
      <c r="AE995" s="8"/>
      <c r="AF995" s="8"/>
      <c r="AG995" s="9"/>
      <c r="AH995" s="8"/>
      <c r="AI995" s="8"/>
      <c r="AJ995" s="8"/>
    </row>
    <row r="996" spans="1:36" ht="11.25" customHeight="1" x14ac:dyDescent="0.1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  <c r="AC996" s="8"/>
      <c r="AD996" s="8"/>
      <c r="AE996" s="8"/>
      <c r="AF996" s="8"/>
      <c r="AG996" s="9"/>
      <c r="AH996" s="8"/>
      <c r="AI996" s="8"/>
      <c r="AJ996" s="8"/>
    </row>
    <row r="997" spans="1:36" ht="11.25" customHeight="1" x14ac:dyDescent="0.1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  <c r="AC997" s="8"/>
      <c r="AD997" s="8"/>
      <c r="AE997" s="8"/>
      <c r="AF997" s="8"/>
      <c r="AG997" s="9"/>
      <c r="AH997" s="8"/>
      <c r="AI997" s="8"/>
      <c r="AJ997" s="8"/>
    </row>
    <row r="998" spans="1:36" ht="11.25" customHeight="1" x14ac:dyDescent="0.1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  <c r="AC998" s="8"/>
      <c r="AD998" s="8"/>
      <c r="AE998" s="8"/>
      <c r="AF998" s="8"/>
      <c r="AG998" s="9"/>
      <c r="AH998" s="8"/>
      <c r="AI998" s="8"/>
      <c r="AJ998" s="8"/>
    </row>
    <row r="999" spans="1:36" ht="11.25" customHeight="1" x14ac:dyDescent="0.1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  <c r="AC999" s="8"/>
      <c r="AD999" s="8"/>
      <c r="AE999" s="8"/>
      <c r="AF999" s="8"/>
      <c r="AG999" s="9"/>
      <c r="AH999" s="8"/>
      <c r="AI999" s="8"/>
      <c r="AJ999" s="8"/>
    </row>
    <row r="1000" spans="1:36" ht="11.25" customHeight="1" x14ac:dyDescent="0.1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  <c r="AC1000" s="8"/>
      <c r="AD1000" s="8"/>
      <c r="AE1000" s="8"/>
      <c r="AF1000" s="8"/>
      <c r="AG1000" s="9"/>
      <c r="AH1000" s="8"/>
      <c r="AI1000" s="8"/>
      <c r="AJ1000" s="8"/>
    </row>
    <row r="1001" spans="1:36" ht="11.25" customHeight="1" x14ac:dyDescent="0.1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  <c r="Y1001" s="8"/>
      <c r="Z1001" s="8"/>
      <c r="AA1001" s="8"/>
      <c r="AB1001" s="8"/>
      <c r="AC1001" s="8"/>
      <c r="AD1001" s="8"/>
      <c r="AE1001" s="8"/>
      <c r="AF1001" s="8"/>
      <c r="AG1001" s="9"/>
      <c r="AH1001" s="8"/>
      <c r="AI1001" s="8"/>
      <c r="AJ1001" s="8"/>
    </row>
  </sheetData>
  <mergeCells count="8">
    <mergeCell ref="A4:M4"/>
    <mergeCell ref="N4:Z4"/>
    <mergeCell ref="F7:K7"/>
    <mergeCell ref="A1:M1"/>
    <mergeCell ref="N1:Z1"/>
    <mergeCell ref="A2:M2"/>
    <mergeCell ref="A3:M3"/>
    <mergeCell ref="N3:Z3"/>
  </mergeCells>
  <conditionalFormatting sqref="N8:Y8">
    <cfRule type="expression" dxfId="0" priority="1">
      <formula>$L$7=N8</formula>
    </cfRule>
  </conditionalFormatting>
  <dataValidations disablePrompts="1" count="1">
    <dataValidation type="list" allowBlank="1" showErrorMessage="1" sqref="L7" xr:uid="{00000000-0002-0000-0000-000000000000}">
      <formula1>Months</formula1>
    </dataValidation>
  </dataValidations>
  <printOptions horizontalCentered="1"/>
  <pageMargins left="0" right="0" top="0.46" bottom="0" header="0" footer="0"/>
  <pageSetup scale="64" orientation="landscape" r:id="rId1"/>
  <headerFooter>
    <oddFooter>&amp;L000000Prepared by: ISDC Printed: &amp;D &amp;T</oddFooter>
  </headerFooter>
  <rowBreaks count="1" manualBreakCount="1">
    <brk id="67" max="26" man="1"/>
  </rowBreaks>
  <colBreaks count="1" manualBreakCount="1">
    <brk id="13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2.5" defaultRowHeight="15" customHeight="1" x14ac:dyDescent="0.15"/>
  <cols>
    <col min="1" max="1" width="2.1640625" customWidth="1"/>
    <col min="2" max="2" width="10.6640625" customWidth="1"/>
    <col min="3" max="3" width="10" customWidth="1"/>
    <col min="4" max="4" width="8.83203125" customWidth="1"/>
    <col min="5" max="5" width="17.6640625" customWidth="1"/>
    <col min="7" max="7" width="11.33203125" customWidth="1"/>
    <col min="8" max="8" width="12.33203125" customWidth="1"/>
    <col min="9" max="9" width="10.6640625" customWidth="1"/>
    <col min="10" max="10" width="9" customWidth="1"/>
    <col min="11" max="26" width="10" customWidth="1"/>
  </cols>
  <sheetData>
    <row r="1" spans="1:26" ht="20.25" customHeight="1" x14ac:dyDescent="0.15">
      <c r="A1" s="1"/>
      <c r="B1" s="3" t="s">
        <v>1</v>
      </c>
      <c r="C1" s="3" t="s">
        <v>4</v>
      </c>
      <c r="D1" s="5" t="s">
        <v>5</v>
      </c>
      <c r="E1" s="3" t="s">
        <v>6</v>
      </c>
      <c r="F1" s="7" t="s">
        <v>7</v>
      </c>
      <c r="G1" s="7" t="s">
        <v>8</v>
      </c>
      <c r="H1" s="7" t="s">
        <v>9</v>
      </c>
      <c r="I1" s="7" t="s">
        <v>10</v>
      </c>
      <c r="J1" s="3" t="s">
        <v>11</v>
      </c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25" customHeight="1" x14ac:dyDescent="0.2">
      <c r="D2" s="10"/>
      <c r="F2" s="11"/>
      <c r="G2" s="11"/>
      <c r="H2" s="11"/>
      <c r="I2" s="11"/>
    </row>
    <row r="3" spans="1:26" ht="14.25" customHeight="1" x14ac:dyDescent="0.2">
      <c r="B3" s="12">
        <v>2015</v>
      </c>
      <c r="C3" s="12">
        <v>105</v>
      </c>
      <c r="D3" s="13" t="s">
        <v>14</v>
      </c>
      <c r="E3" s="2" t="s">
        <v>15</v>
      </c>
      <c r="F3" s="11">
        <v>3214</v>
      </c>
      <c r="G3" s="11"/>
      <c r="H3" s="11"/>
      <c r="I3" s="11">
        <f>F3-G3-H3</f>
        <v>3214</v>
      </c>
      <c r="J3" s="14">
        <v>42185</v>
      </c>
    </row>
    <row r="4" spans="1:26" ht="14.25" customHeight="1" x14ac:dyDescent="0.2">
      <c r="B4" s="12"/>
      <c r="C4" s="12"/>
      <c r="D4" s="13"/>
      <c r="F4" s="11"/>
      <c r="G4" s="11"/>
      <c r="H4" s="11"/>
      <c r="I4" s="11"/>
    </row>
    <row r="5" spans="1:26" ht="14.25" customHeight="1" x14ac:dyDescent="0.2">
      <c r="B5" s="12">
        <v>2015</v>
      </c>
      <c r="C5" s="12">
        <v>105</v>
      </c>
      <c r="D5" s="13" t="s">
        <v>18</v>
      </c>
      <c r="E5" s="2" t="s">
        <v>19</v>
      </c>
      <c r="F5" s="11">
        <v>1099530</v>
      </c>
      <c r="G5" s="11">
        <v>99034.54</v>
      </c>
      <c r="H5" s="11">
        <v>747090.87</v>
      </c>
      <c r="I5" s="11">
        <f>F5-G5-H5</f>
        <v>253404.58999999997</v>
      </c>
      <c r="J5" s="14">
        <v>42185</v>
      </c>
    </row>
    <row r="6" spans="1:26" ht="14.25" customHeight="1" x14ac:dyDescent="0.2">
      <c r="B6" s="12">
        <v>2015</v>
      </c>
      <c r="C6" s="12">
        <v>105</v>
      </c>
      <c r="D6" s="15" t="s">
        <v>22</v>
      </c>
      <c r="E6" s="2" t="s">
        <v>26</v>
      </c>
      <c r="F6" s="11">
        <v>663</v>
      </c>
      <c r="G6" s="11">
        <v>0</v>
      </c>
      <c r="H6" s="11">
        <v>0</v>
      </c>
      <c r="I6" s="11">
        <f>F6-G6-H6</f>
        <v>663</v>
      </c>
      <c r="J6" s="14">
        <v>42185</v>
      </c>
    </row>
    <row r="7" spans="1:26" ht="14.25" customHeight="1" x14ac:dyDescent="0.2">
      <c r="B7" s="12">
        <v>2015</v>
      </c>
      <c r="C7" s="12">
        <v>105</v>
      </c>
      <c r="D7" s="13" t="s">
        <v>29</v>
      </c>
      <c r="E7" s="2" t="s">
        <v>30</v>
      </c>
      <c r="F7" s="11">
        <v>38782</v>
      </c>
      <c r="G7" s="11"/>
      <c r="H7" s="11">
        <v>21307.03</v>
      </c>
      <c r="I7" s="11">
        <f>F7-G7-H7</f>
        <v>17474.97</v>
      </c>
      <c r="J7" s="14">
        <v>42185</v>
      </c>
    </row>
    <row r="8" spans="1:26" ht="14.25" customHeight="1" x14ac:dyDescent="0.2">
      <c r="B8" s="12"/>
      <c r="C8" s="12"/>
      <c r="D8" s="13"/>
      <c r="F8" s="11"/>
      <c r="G8" s="11"/>
      <c r="H8" s="11"/>
      <c r="I8" s="11"/>
    </row>
    <row r="9" spans="1:26" ht="14.25" customHeight="1" x14ac:dyDescent="0.2">
      <c r="A9" s="17"/>
      <c r="B9" s="18"/>
      <c r="C9" s="18"/>
      <c r="D9" s="19"/>
      <c r="E9" s="21" t="s">
        <v>33</v>
      </c>
      <c r="F9" s="23">
        <f>SUM(F2:F8)</f>
        <v>1142189</v>
      </c>
      <c r="G9" s="23">
        <f>SUM(G2:G8)</f>
        <v>99034.54</v>
      </c>
      <c r="H9" s="23">
        <f>SUM(H2:H8)</f>
        <v>768397.9</v>
      </c>
      <c r="I9" s="23">
        <f>SUM(I2:I8)</f>
        <v>274756.55999999994</v>
      </c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4.25" customHeight="1" x14ac:dyDescent="0.2">
      <c r="B10" s="12"/>
      <c r="C10" s="12"/>
      <c r="D10" s="13"/>
      <c r="F10" s="11"/>
      <c r="G10" s="11"/>
      <c r="H10" s="11"/>
      <c r="I10" s="11"/>
    </row>
    <row r="11" spans="1:26" ht="14.25" customHeight="1" x14ac:dyDescent="0.2">
      <c r="B11" s="12"/>
      <c r="C11" s="12"/>
      <c r="D11" s="13"/>
      <c r="F11" s="11"/>
      <c r="G11" s="11"/>
      <c r="H11" s="11"/>
      <c r="I11" s="11"/>
    </row>
    <row r="12" spans="1:26" ht="14.25" customHeight="1" x14ac:dyDescent="0.2">
      <c r="B12" s="12">
        <v>2015</v>
      </c>
      <c r="C12" s="13" t="s">
        <v>43</v>
      </c>
      <c r="D12" s="13" t="s">
        <v>44</v>
      </c>
      <c r="E12" s="2" t="s">
        <v>45</v>
      </c>
      <c r="F12" s="11"/>
      <c r="G12" s="11"/>
      <c r="H12" s="11"/>
      <c r="I12" s="11"/>
      <c r="J12" s="14">
        <v>42185</v>
      </c>
    </row>
    <row r="13" spans="1:26" ht="14.25" customHeight="1" x14ac:dyDescent="0.2">
      <c r="B13" s="12"/>
      <c r="C13" s="13"/>
      <c r="D13" s="13"/>
      <c r="F13" s="11"/>
      <c r="G13" s="11"/>
      <c r="H13" s="11"/>
      <c r="I13" s="11"/>
    </row>
    <row r="14" spans="1:26" ht="14.25" customHeight="1" x14ac:dyDescent="0.2">
      <c r="B14" s="12">
        <v>2015</v>
      </c>
      <c r="C14" s="13" t="s">
        <v>43</v>
      </c>
      <c r="D14" s="13" t="s">
        <v>52</v>
      </c>
      <c r="E14" s="2" t="s">
        <v>53</v>
      </c>
      <c r="F14" s="11">
        <v>813784.26</v>
      </c>
      <c r="G14" s="11">
        <v>794</v>
      </c>
      <c r="H14" s="11">
        <v>316789.48</v>
      </c>
      <c r="I14" s="11">
        <f>+F14-G14-H14</f>
        <v>496200.78</v>
      </c>
      <c r="J14" s="14">
        <v>42185</v>
      </c>
    </row>
    <row r="15" spans="1:26" ht="14.25" customHeight="1" x14ac:dyDescent="0.2">
      <c r="B15" s="12"/>
      <c r="C15" s="13"/>
      <c r="D15" s="13"/>
      <c r="F15" s="11"/>
      <c r="G15" s="11"/>
      <c r="H15" s="11"/>
      <c r="I15" s="11"/>
    </row>
    <row r="16" spans="1:26" ht="14.25" customHeight="1" x14ac:dyDescent="0.2">
      <c r="B16" s="12">
        <v>2015</v>
      </c>
      <c r="C16" s="13" t="s">
        <v>43</v>
      </c>
      <c r="D16" s="13" t="s">
        <v>61</v>
      </c>
      <c r="E16" s="2" t="s">
        <v>63</v>
      </c>
      <c r="F16" s="11"/>
      <c r="G16" s="11"/>
      <c r="H16" s="11"/>
      <c r="I16" s="11"/>
      <c r="J16" s="14">
        <v>42185</v>
      </c>
    </row>
    <row r="17" spans="1:10" ht="14.25" customHeight="1" x14ac:dyDescent="0.2">
      <c r="B17" s="12"/>
      <c r="C17" s="13"/>
      <c r="D17" s="13"/>
      <c r="F17" s="11"/>
      <c r="G17" s="11"/>
      <c r="H17" s="11"/>
      <c r="I17" s="11"/>
    </row>
    <row r="18" spans="1:10" ht="14.25" customHeight="1" x14ac:dyDescent="0.2">
      <c r="A18" s="2" t="s">
        <v>64</v>
      </c>
      <c r="B18" s="12">
        <v>2015</v>
      </c>
      <c r="C18" s="13" t="s">
        <v>43</v>
      </c>
      <c r="D18" s="13" t="s">
        <v>65</v>
      </c>
      <c r="E18" s="2" t="s">
        <v>66</v>
      </c>
      <c r="F18" s="11">
        <v>132632.97</v>
      </c>
      <c r="G18" s="11"/>
      <c r="H18" s="11">
        <v>38037.949999999997</v>
      </c>
      <c r="I18" s="11">
        <f>F18-G18-H18</f>
        <v>94595.02</v>
      </c>
      <c r="J18" s="14">
        <v>42185</v>
      </c>
    </row>
    <row r="19" spans="1:10" ht="14.25" customHeight="1" x14ac:dyDescent="0.2">
      <c r="B19" s="12"/>
      <c r="C19" s="13"/>
      <c r="D19" s="13"/>
      <c r="F19" s="11"/>
      <c r="G19" s="11"/>
      <c r="H19" s="11"/>
      <c r="I19" s="11"/>
    </row>
    <row r="20" spans="1:10" ht="14.25" customHeight="1" x14ac:dyDescent="0.2">
      <c r="B20" s="12"/>
      <c r="C20" s="13"/>
      <c r="D20" s="13"/>
      <c r="E20" s="21" t="s">
        <v>71</v>
      </c>
      <c r="F20" s="23">
        <f>SUM(F12:F19)</f>
        <v>946417.23</v>
      </c>
      <c r="G20" s="23">
        <f>SUM(G12:G18)</f>
        <v>794</v>
      </c>
      <c r="H20" s="23">
        <f>SUM(H12:H19)</f>
        <v>354827.43</v>
      </c>
      <c r="I20" s="23">
        <f>SUM(I12:I19)</f>
        <v>590795.80000000005</v>
      </c>
    </row>
    <row r="21" spans="1:10" ht="14.25" customHeight="1" x14ac:dyDescent="0.2">
      <c r="B21" s="12"/>
      <c r="C21" s="13"/>
      <c r="D21" s="13"/>
      <c r="E21" s="17"/>
      <c r="F21" s="28"/>
      <c r="G21" s="28"/>
      <c r="H21" s="28"/>
      <c r="I21" s="28"/>
    </row>
    <row r="22" spans="1:10" ht="14.25" customHeight="1" x14ac:dyDescent="0.2">
      <c r="B22" s="12">
        <v>2015</v>
      </c>
      <c r="C22" s="13" t="s">
        <v>79</v>
      </c>
      <c r="D22" s="13" t="s">
        <v>80</v>
      </c>
      <c r="E22" s="2" t="s">
        <v>81</v>
      </c>
      <c r="F22" s="11">
        <v>13002</v>
      </c>
      <c r="G22" s="28"/>
      <c r="H22" s="28"/>
      <c r="I22" s="11">
        <f>+F22-G22-H22</f>
        <v>13002</v>
      </c>
      <c r="J22" s="14">
        <v>42704</v>
      </c>
    </row>
    <row r="23" spans="1:10" ht="14.25" customHeight="1" x14ac:dyDescent="0.2">
      <c r="B23" s="12">
        <v>2105</v>
      </c>
      <c r="C23" s="13" t="s">
        <v>79</v>
      </c>
      <c r="D23" s="13" t="s">
        <v>87</v>
      </c>
      <c r="E23" s="2" t="s">
        <v>88</v>
      </c>
      <c r="F23" s="11">
        <v>71596</v>
      </c>
      <c r="G23" s="28"/>
      <c r="H23" s="28"/>
      <c r="I23" s="11">
        <f>+F23-G23-H23</f>
        <v>71596</v>
      </c>
      <c r="J23" s="14">
        <v>42704</v>
      </c>
    </row>
    <row r="24" spans="1:10" ht="14.25" customHeight="1" x14ac:dyDescent="0.2">
      <c r="B24" s="12">
        <v>2015</v>
      </c>
      <c r="C24" s="13" t="s">
        <v>79</v>
      </c>
      <c r="D24" s="13" t="s">
        <v>91</v>
      </c>
      <c r="E24" s="2" t="s">
        <v>92</v>
      </c>
      <c r="F24" s="11">
        <v>35985</v>
      </c>
      <c r="G24" s="11"/>
      <c r="H24" s="11"/>
      <c r="I24" s="11">
        <f>+F24-G24-H24</f>
        <v>35985</v>
      </c>
      <c r="J24" s="14">
        <v>42704</v>
      </c>
    </row>
    <row r="25" spans="1:10" ht="14.25" customHeight="1" x14ac:dyDescent="0.2">
      <c r="B25" s="12"/>
      <c r="C25" s="13"/>
      <c r="D25" s="13"/>
      <c r="F25" s="11"/>
      <c r="G25" s="11"/>
      <c r="H25" s="11"/>
      <c r="I25" s="11"/>
    </row>
    <row r="26" spans="1:10" ht="14.25" customHeight="1" x14ac:dyDescent="0.2">
      <c r="B26" s="12"/>
      <c r="C26" s="13"/>
      <c r="D26" s="13"/>
      <c r="E26" s="29" t="s">
        <v>95</v>
      </c>
      <c r="F26" s="30">
        <f>F9+F20+F22+F23+F24</f>
        <v>2209189.23</v>
      </c>
      <c r="G26" s="30">
        <f>G9+G20+G22+G23+G24</f>
        <v>99828.54</v>
      </c>
      <c r="H26" s="30">
        <f>H9+H20+H22+H23+H24</f>
        <v>1123225.33</v>
      </c>
      <c r="I26" s="30">
        <f>I9+I20+I22+I23+I24</f>
        <v>986135.36</v>
      </c>
    </row>
    <row r="27" spans="1:10" ht="14.25" customHeight="1" x14ac:dyDescent="0.2">
      <c r="B27" s="12"/>
      <c r="C27" s="13"/>
      <c r="D27" s="13"/>
      <c r="F27" s="11"/>
      <c r="G27" s="11"/>
      <c r="H27" s="11"/>
      <c r="I27" s="11"/>
    </row>
    <row r="28" spans="1:10" ht="14.25" customHeight="1" x14ac:dyDescent="0.2">
      <c r="B28" s="12"/>
      <c r="C28" s="31" t="s">
        <v>99</v>
      </c>
      <c r="D28" s="13"/>
      <c r="F28" s="11"/>
      <c r="G28" s="11"/>
      <c r="H28" s="32">
        <v>35933.339999999997</v>
      </c>
      <c r="I28" s="11"/>
    </row>
    <row r="29" spans="1:10" ht="14.25" customHeight="1" x14ac:dyDescent="0.2">
      <c r="B29" s="12"/>
      <c r="C29" s="34" t="s">
        <v>100</v>
      </c>
      <c r="D29" s="10"/>
      <c r="F29" s="11"/>
      <c r="G29" s="11"/>
      <c r="H29" s="11">
        <f>SUM(H26:H28)</f>
        <v>1159158.6700000002</v>
      </c>
      <c r="I29" s="11"/>
    </row>
    <row r="30" spans="1:10" ht="14.25" customHeight="1" x14ac:dyDescent="0.2">
      <c r="B30" s="12"/>
      <c r="D30" s="10"/>
      <c r="F30" s="11"/>
      <c r="G30" s="11"/>
      <c r="H30" s="11"/>
      <c r="I30" s="11"/>
    </row>
    <row r="31" spans="1:10" ht="14.25" customHeight="1" x14ac:dyDescent="0.2">
      <c r="D31" s="10"/>
      <c r="F31" s="11"/>
      <c r="G31" s="11"/>
      <c r="H31" s="11"/>
      <c r="I31" s="11"/>
    </row>
    <row r="32" spans="1:10" ht="14.25" customHeight="1" x14ac:dyDescent="0.2">
      <c r="D32" s="10"/>
      <c r="F32" s="11"/>
      <c r="G32" s="11"/>
      <c r="H32" s="11"/>
      <c r="I32" s="11"/>
    </row>
    <row r="33" spans="4:9" ht="14.25" customHeight="1" x14ac:dyDescent="0.2">
      <c r="D33" s="10"/>
      <c r="F33" s="11"/>
      <c r="G33" s="11"/>
      <c r="H33" s="11"/>
      <c r="I33" s="11"/>
    </row>
    <row r="34" spans="4:9" ht="14.25" customHeight="1" x14ac:dyDescent="0.2">
      <c r="D34" s="10"/>
      <c r="F34" s="11"/>
      <c r="G34" s="11"/>
      <c r="H34" s="11"/>
      <c r="I34" s="11"/>
    </row>
    <row r="35" spans="4:9" ht="14.25" customHeight="1" x14ac:dyDescent="0.2">
      <c r="D35" s="10"/>
      <c r="F35" s="11"/>
      <c r="G35" s="11"/>
      <c r="H35" s="11"/>
      <c r="I35" s="11"/>
    </row>
    <row r="36" spans="4:9" ht="14.25" customHeight="1" x14ac:dyDescent="0.2">
      <c r="D36" s="34"/>
      <c r="F36" s="11"/>
      <c r="G36" s="11"/>
      <c r="H36" s="11"/>
      <c r="I36" s="11"/>
    </row>
    <row r="37" spans="4:9" ht="14.25" customHeight="1" x14ac:dyDescent="0.2">
      <c r="D37" s="34"/>
      <c r="F37" s="11"/>
      <c r="G37" s="11"/>
      <c r="H37" s="11"/>
      <c r="I37" s="11"/>
    </row>
    <row r="38" spans="4:9" ht="14.25" customHeight="1" x14ac:dyDescent="0.2">
      <c r="D38" s="34"/>
      <c r="F38" s="11"/>
      <c r="G38" s="11"/>
      <c r="H38" s="11"/>
      <c r="I38" s="11"/>
    </row>
    <row r="39" spans="4:9" ht="14.25" customHeight="1" x14ac:dyDescent="0.2">
      <c r="D39" s="34"/>
      <c r="F39" s="11"/>
      <c r="G39" s="11"/>
      <c r="H39" s="11"/>
      <c r="I39" s="11"/>
    </row>
    <row r="40" spans="4:9" ht="14.25" customHeight="1" x14ac:dyDescent="0.2">
      <c r="D40" s="34"/>
      <c r="F40" s="11"/>
      <c r="G40" s="11"/>
      <c r="H40" s="11"/>
      <c r="I40" s="11"/>
    </row>
    <row r="41" spans="4:9" ht="14.25" customHeight="1" x14ac:dyDescent="0.2">
      <c r="D41" s="34"/>
      <c r="F41" s="11"/>
      <c r="G41" s="11"/>
      <c r="H41" s="11"/>
      <c r="I41" s="11"/>
    </row>
    <row r="42" spans="4:9" ht="14.25" customHeight="1" x14ac:dyDescent="0.2">
      <c r="D42" s="34"/>
      <c r="F42" s="11"/>
      <c r="G42" s="11"/>
      <c r="H42" s="11"/>
      <c r="I42" s="11"/>
    </row>
    <row r="43" spans="4:9" ht="14.25" customHeight="1" x14ac:dyDescent="0.2">
      <c r="D43" s="34"/>
      <c r="F43" s="11"/>
      <c r="G43" s="11"/>
      <c r="H43" s="11"/>
      <c r="I43" s="11"/>
    </row>
    <row r="44" spans="4:9" ht="14.25" customHeight="1" x14ac:dyDescent="0.2">
      <c r="D44" s="34"/>
      <c r="F44" s="11"/>
      <c r="G44" s="11"/>
      <c r="H44" s="11"/>
      <c r="I44" s="11"/>
    </row>
    <row r="45" spans="4:9" ht="14.25" customHeight="1" x14ac:dyDescent="0.2">
      <c r="D45" s="34"/>
      <c r="F45" s="11"/>
      <c r="G45" s="11"/>
      <c r="H45" s="11"/>
      <c r="I45" s="11"/>
    </row>
    <row r="46" spans="4:9" ht="14.25" customHeight="1" x14ac:dyDescent="0.2">
      <c r="D46" s="34"/>
      <c r="F46" s="11"/>
      <c r="G46" s="11"/>
      <c r="H46" s="11"/>
      <c r="I46" s="11"/>
    </row>
    <row r="47" spans="4:9" ht="14.25" customHeight="1" x14ac:dyDescent="0.2">
      <c r="D47" s="34"/>
      <c r="F47" s="11"/>
      <c r="G47" s="11"/>
      <c r="H47" s="11"/>
      <c r="I47" s="11"/>
    </row>
    <row r="48" spans="4:9" ht="14.25" customHeight="1" x14ac:dyDescent="0.2">
      <c r="D48" s="34"/>
      <c r="F48" s="11"/>
      <c r="G48" s="11"/>
      <c r="H48" s="11"/>
      <c r="I48" s="11"/>
    </row>
    <row r="49" spans="4:9" ht="14.25" customHeight="1" x14ac:dyDescent="0.2">
      <c r="D49" s="34"/>
      <c r="F49" s="11"/>
      <c r="G49" s="11"/>
      <c r="H49" s="11"/>
      <c r="I49" s="11"/>
    </row>
    <row r="50" spans="4:9" ht="14.25" customHeight="1" x14ac:dyDescent="0.2">
      <c r="D50" s="34"/>
      <c r="F50" s="11"/>
      <c r="G50" s="11"/>
      <c r="H50" s="11"/>
      <c r="I50" s="11"/>
    </row>
    <row r="51" spans="4:9" ht="14.25" customHeight="1" x14ac:dyDescent="0.2">
      <c r="D51" s="34"/>
      <c r="F51" s="11"/>
      <c r="G51" s="11"/>
      <c r="H51" s="11"/>
      <c r="I51" s="11"/>
    </row>
    <row r="52" spans="4:9" ht="14.25" customHeight="1" x14ac:dyDescent="0.2">
      <c r="D52" s="34"/>
      <c r="F52" s="11"/>
      <c r="G52" s="11"/>
      <c r="H52" s="11"/>
      <c r="I52" s="11"/>
    </row>
    <row r="53" spans="4:9" ht="14.25" customHeight="1" x14ac:dyDescent="0.2">
      <c r="D53" s="34"/>
      <c r="F53" s="11"/>
      <c r="G53" s="11"/>
      <c r="H53" s="11"/>
      <c r="I53" s="11"/>
    </row>
    <row r="54" spans="4:9" ht="14.25" customHeight="1" x14ac:dyDescent="0.2">
      <c r="D54" s="34"/>
      <c r="F54" s="11"/>
      <c r="G54" s="11"/>
      <c r="H54" s="11"/>
      <c r="I54" s="11"/>
    </row>
    <row r="55" spans="4:9" ht="14.25" customHeight="1" x14ac:dyDescent="0.2">
      <c r="D55" s="34"/>
      <c r="F55" s="11"/>
      <c r="G55" s="11"/>
      <c r="H55" s="11"/>
      <c r="I55" s="11"/>
    </row>
    <row r="56" spans="4:9" ht="14.25" customHeight="1" x14ac:dyDescent="0.2">
      <c r="D56" s="34"/>
      <c r="F56" s="11"/>
      <c r="G56" s="11"/>
      <c r="H56" s="11"/>
      <c r="I56" s="11"/>
    </row>
    <row r="57" spans="4:9" ht="14.25" customHeight="1" x14ac:dyDescent="0.2">
      <c r="D57" s="34"/>
      <c r="F57" s="11"/>
      <c r="G57" s="11"/>
      <c r="H57" s="11"/>
      <c r="I57" s="11"/>
    </row>
    <row r="58" spans="4:9" ht="14.25" customHeight="1" x14ac:dyDescent="0.2">
      <c r="D58" s="34"/>
      <c r="F58" s="11"/>
      <c r="G58" s="11"/>
      <c r="H58" s="11"/>
      <c r="I58" s="11"/>
    </row>
    <row r="59" spans="4:9" ht="14.25" customHeight="1" x14ac:dyDescent="0.2">
      <c r="D59" s="34"/>
      <c r="F59" s="11"/>
      <c r="G59" s="11"/>
      <c r="H59" s="11"/>
      <c r="I59" s="11"/>
    </row>
    <row r="60" spans="4:9" ht="14.25" customHeight="1" x14ac:dyDescent="0.2">
      <c r="D60" s="34"/>
      <c r="F60" s="11"/>
      <c r="G60" s="11"/>
      <c r="H60" s="11"/>
      <c r="I60" s="11"/>
    </row>
    <row r="61" spans="4:9" ht="14.25" customHeight="1" x14ac:dyDescent="0.2">
      <c r="D61" s="34"/>
      <c r="F61" s="11"/>
      <c r="G61" s="11"/>
      <c r="H61" s="11"/>
      <c r="I61" s="11"/>
    </row>
    <row r="62" spans="4:9" ht="14.25" customHeight="1" x14ac:dyDescent="0.2">
      <c r="D62" s="34"/>
      <c r="F62" s="11"/>
      <c r="G62" s="11"/>
      <c r="H62" s="11"/>
      <c r="I62" s="11"/>
    </row>
    <row r="63" spans="4:9" ht="14.25" customHeight="1" x14ac:dyDescent="0.2">
      <c r="D63" s="34"/>
      <c r="F63" s="11"/>
      <c r="G63" s="11"/>
      <c r="H63" s="11"/>
      <c r="I63" s="11"/>
    </row>
    <row r="64" spans="4:9" ht="14.25" customHeight="1" x14ac:dyDescent="0.2">
      <c r="D64" s="34"/>
      <c r="F64" s="11"/>
      <c r="G64" s="11"/>
      <c r="H64" s="11"/>
      <c r="I64" s="11"/>
    </row>
    <row r="65" spans="4:9" ht="14.25" customHeight="1" x14ac:dyDescent="0.2">
      <c r="D65" s="34"/>
      <c r="F65" s="11"/>
      <c r="G65" s="11"/>
      <c r="H65" s="11"/>
      <c r="I65" s="11"/>
    </row>
    <row r="66" spans="4:9" ht="14.25" customHeight="1" x14ac:dyDescent="0.2">
      <c r="D66" s="34"/>
      <c r="F66" s="11"/>
      <c r="G66" s="11"/>
      <c r="H66" s="11"/>
      <c r="I66" s="11"/>
    </row>
    <row r="67" spans="4:9" ht="14.25" customHeight="1" x14ac:dyDescent="0.2">
      <c r="D67" s="34"/>
      <c r="F67" s="11"/>
      <c r="G67" s="11"/>
      <c r="H67" s="11"/>
      <c r="I67" s="11"/>
    </row>
    <row r="68" spans="4:9" ht="14.25" customHeight="1" x14ac:dyDescent="0.2">
      <c r="D68" s="34"/>
      <c r="F68" s="11"/>
      <c r="G68" s="11"/>
      <c r="H68" s="11"/>
      <c r="I68" s="11"/>
    </row>
    <row r="69" spans="4:9" ht="14.25" customHeight="1" x14ac:dyDescent="0.2">
      <c r="D69" s="34"/>
      <c r="F69" s="11"/>
      <c r="G69" s="11"/>
      <c r="H69" s="11"/>
      <c r="I69" s="11"/>
    </row>
    <row r="70" spans="4:9" ht="14.25" customHeight="1" x14ac:dyDescent="0.2">
      <c r="D70" s="34"/>
      <c r="F70" s="11"/>
      <c r="G70" s="11"/>
      <c r="H70" s="11"/>
      <c r="I70" s="11"/>
    </row>
    <row r="71" spans="4:9" ht="14.25" customHeight="1" x14ac:dyDescent="0.2">
      <c r="D71" s="34"/>
      <c r="F71" s="11"/>
      <c r="G71" s="11"/>
      <c r="H71" s="11"/>
      <c r="I71" s="11"/>
    </row>
    <row r="72" spans="4:9" ht="14.25" customHeight="1" x14ac:dyDescent="0.2">
      <c r="D72" s="34"/>
      <c r="F72" s="11"/>
      <c r="G72" s="11"/>
      <c r="H72" s="11"/>
      <c r="I72" s="11"/>
    </row>
    <row r="73" spans="4:9" ht="14.25" customHeight="1" x14ac:dyDescent="0.2">
      <c r="D73" s="34"/>
      <c r="F73" s="11"/>
      <c r="G73" s="11"/>
      <c r="H73" s="11"/>
      <c r="I73" s="11"/>
    </row>
    <row r="74" spans="4:9" ht="14.25" customHeight="1" x14ac:dyDescent="0.2">
      <c r="D74" s="34"/>
      <c r="F74" s="11"/>
      <c r="G74" s="11"/>
      <c r="H74" s="11"/>
      <c r="I74" s="11"/>
    </row>
    <row r="75" spans="4:9" ht="14.25" customHeight="1" x14ac:dyDescent="0.2">
      <c r="D75" s="34"/>
      <c r="F75" s="11"/>
      <c r="G75" s="11"/>
      <c r="H75" s="11"/>
      <c r="I75" s="11"/>
    </row>
    <row r="76" spans="4:9" ht="14.25" customHeight="1" x14ac:dyDescent="0.2">
      <c r="D76" s="34"/>
      <c r="F76" s="11"/>
      <c r="G76" s="11"/>
      <c r="H76" s="11"/>
      <c r="I76" s="11"/>
    </row>
    <row r="77" spans="4:9" ht="14.25" customHeight="1" x14ac:dyDescent="0.2">
      <c r="D77" s="34"/>
      <c r="F77" s="11"/>
      <c r="G77" s="11"/>
      <c r="H77" s="11"/>
      <c r="I77" s="11"/>
    </row>
    <row r="78" spans="4:9" ht="14.25" customHeight="1" x14ac:dyDescent="0.2">
      <c r="D78" s="34"/>
      <c r="F78" s="11"/>
      <c r="G78" s="11"/>
      <c r="H78" s="11"/>
      <c r="I78" s="11"/>
    </row>
    <row r="79" spans="4:9" ht="14.25" customHeight="1" x14ac:dyDescent="0.2">
      <c r="D79" s="34"/>
      <c r="F79" s="11"/>
      <c r="G79" s="11"/>
      <c r="H79" s="11"/>
      <c r="I79" s="11"/>
    </row>
    <row r="80" spans="4:9" ht="14.25" customHeight="1" x14ac:dyDescent="0.2">
      <c r="D80" s="34"/>
      <c r="F80" s="11"/>
      <c r="G80" s="11"/>
      <c r="H80" s="11"/>
      <c r="I80" s="11"/>
    </row>
    <row r="81" spans="4:9" ht="14.25" customHeight="1" x14ac:dyDescent="0.2">
      <c r="D81" s="34"/>
      <c r="F81" s="11"/>
      <c r="G81" s="11"/>
      <c r="H81" s="11"/>
      <c r="I81" s="11"/>
    </row>
    <row r="82" spans="4:9" ht="14.25" customHeight="1" x14ac:dyDescent="0.2">
      <c r="D82" s="34"/>
      <c r="F82" s="11"/>
      <c r="G82" s="11"/>
      <c r="H82" s="11"/>
      <c r="I82" s="11"/>
    </row>
    <row r="83" spans="4:9" ht="14.25" customHeight="1" x14ac:dyDescent="0.2">
      <c r="D83" s="34"/>
      <c r="F83" s="11"/>
      <c r="G83" s="11"/>
      <c r="H83" s="11"/>
      <c r="I83" s="11"/>
    </row>
    <row r="84" spans="4:9" ht="14.25" customHeight="1" x14ac:dyDescent="0.2">
      <c r="D84" s="34"/>
      <c r="F84" s="11"/>
      <c r="G84" s="11"/>
      <c r="H84" s="11"/>
      <c r="I84" s="11"/>
    </row>
    <row r="85" spans="4:9" ht="14.25" customHeight="1" x14ac:dyDescent="0.2">
      <c r="D85" s="34"/>
      <c r="F85" s="11"/>
      <c r="G85" s="11"/>
      <c r="H85" s="11"/>
      <c r="I85" s="11"/>
    </row>
    <row r="86" spans="4:9" ht="14.25" customHeight="1" x14ac:dyDescent="0.2">
      <c r="D86" s="34"/>
      <c r="F86" s="11"/>
      <c r="G86" s="11"/>
      <c r="H86" s="11"/>
      <c r="I86" s="11"/>
    </row>
    <row r="87" spans="4:9" ht="14.25" customHeight="1" x14ac:dyDescent="0.2">
      <c r="D87" s="34"/>
      <c r="F87" s="11"/>
      <c r="G87" s="11"/>
      <c r="H87" s="11"/>
      <c r="I87" s="11"/>
    </row>
    <row r="88" spans="4:9" ht="14.25" customHeight="1" x14ac:dyDescent="0.2">
      <c r="D88" s="34"/>
      <c r="F88" s="11"/>
      <c r="G88" s="11"/>
      <c r="H88" s="11"/>
      <c r="I88" s="11"/>
    </row>
    <row r="89" spans="4:9" ht="14.25" customHeight="1" x14ac:dyDescent="0.2">
      <c r="D89" s="34"/>
      <c r="F89" s="11"/>
      <c r="G89" s="11"/>
      <c r="H89" s="11"/>
      <c r="I89" s="11"/>
    </row>
    <row r="90" spans="4:9" ht="14.25" customHeight="1" x14ac:dyDescent="0.2">
      <c r="D90" s="34"/>
      <c r="F90" s="11"/>
      <c r="G90" s="11"/>
      <c r="H90" s="11"/>
      <c r="I90" s="11"/>
    </row>
    <row r="91" spans="4:9" ht="14.25" customHeight="1" x14ac:dyDescent="0.2">
      <c r="D91" s="34"/>
      <c r="F91" s="11"/>
      <c r="G91" s="11"/>
      <c r="H91" s="11"/>
      <c r="I91" s="11"/>
    </row>
    <row r="92" spans="4:9" ht="14.25" customHeight="1" x14ac:dyDescent="0.2">
      <c r="D92" s="34"/>
      <c r="F92" s="11"/>
      <c r="G92" s="11"/>
      <c r="H92" s="11"/>
      <c r="I92" s="11"/>
    </row>
    <row r="93" spans="4:9" ht="14.25" customHeight="1" x14ac:dyDescent="0.2">
      <c r="D93" s="34"/>
      <c r="F93" s="11"/>
      <c r="G93" s="11"/>
      <c r="H93" s="11"/>
      <c r="I93" s="11"/>
    </row>
    <row r="94" spans="4:9" ht="14.25" customHeight="1" x14ac:dyDescent="0.2">
      <c r="D94" s="34"/>
      <c r="F94" s="11"/>
      <c r="G94" s="11"/>
      <c r="H94" s="11"/>
      <c r="I94" s="11"/>
    </row>
    <row r="95" spans="4:9" ht="14.25" customHeight="1" x14ac:dyDescent="0.2">
      <c r="D95" s="34"/>
      <c r="F95" s="11"/>
      <c r="G95" s="11"/>
      <c r="H95" s="11"/>
      <c r="I95" s="11"/>
    </row>
    <row r="96" spans="4:9" ht="14.25" customHeight="1" x14ac:dyDescent="0.2">
      <c r="D96" s="34"/>
      <c r="F96" s="11"/>
      <c r="G96" s="11"/>
      <c r="H96" s="11"/>
      <c r="I96" s="11"/>
    </row>
    <row r="97" spans="4:9" ht="14.25" customHeight="1" x14ac:dyDescent="0.2">
      <c r="D97" s="34"/>
      <c r="F97" s="11"/>
      <c r="G97" s="11"/>
      <c r="H97" s="11"/>
      <c r="I97" s="11"/>
    </row>
    <row r="98" spans="4:9" ht="14.25" customHeight="1" x14ac:dyDescent="0.2">
      <c r="D98" s="34"/>
      <c r="F98" s="11"/>
      <c r="G98" s="11"/>
      <c r="H98" s="11"/>
      <c r="I98" s="11"/>
    </row>
    <row r="99" spans="4:9" ht="14.25" customHeight="1" x14ac:dyDescent="0.2">
      <c r="D99" s="34"/>
      <c r="F99" s="11"/>
      <c r="G99" s="11"/>
      <c r="H99" s="11"/>
      <c r="I99" s="11"/>
    </row>
    <row r="100" spans="4:9" ht="14.25" customHeight="1" x14ac:dyDescent="0.2">
      <c r="D100" s="34"/>
      <c r="F100" s="11"/>
      <c r="G100" s="11"/>
      <c r="H100" s="11"/>
      <c r="I100" s="11"/>
    </row>
    <row r="101" spans="4:9" ht="14.25" customHeight="1" x14ac:dyDescent="0.2">
      <c r="D101" s="34"/>
      <c r="F101" s="11"/>
      <c r="G101" s="11"/>
      <c r="H101" s="11"/>
      <c r="I101" s="11"/>
    </row>
    <row r="102" spans="4:9" ht="14.25" customHeight="1" x14ac:dyDescent="0.2">
      <c r="D102" s="34"/>
      <c r="F102" s="11"/>
      <c r="G102" s="11"/>
      <c r="H102" s="11"/>
      <c r="I102" s="11"/>
    </row>
    <row r="103" spans="4:9" ht="14.25" customHeight="1" x14ac:dyDescent="0.2">
      <c r="D103" s="34"/>
      <c r="F103" s="11"/>
      <c r="G103" s="11"/>
      <c r="H103" s="11"/>
      <c r="I103" s="11"/>
    </row>
    <row r="104" spans="4:9" ht="14.25" customHeight="1" x14ac:dyDescent="0.2">
      <c r="D104" s="34"/>
      <c r="F104" s="11"/>
      <c r="G104" s="11"/>
      <c r="H104" s="11"/>
      <c r="I104" s="11"/>
    </row>
    <row r="105" spans="4:9" ht="14.25" customHeight="1" x14ac:dyDescent="0.2">
      <c r="D105" s="34"/>
      <c r="F105" s="11"/>
      <c r="G105" s="11"/>
      <c r="H105" s="11"/>
      <c r="I105" s="11"/>
    </row>
    <row r="106" spans="4:9" ht="14.25" customHeight="1" x14ac:dyDescent="0.2">
      <c r="D106" s="34"/>
      <c r="F106" s="11"/>
      <c r="G106" s="11"/>
      <c r="H106" s="11"/>
      <c r="I106" s="11"/>
    </row>
    <row r="107" spans="4:9" ht="14.25" customHeight="1" x14ac:dyDescent="0.2">
      <c r="D107" s="34"/>
      <c r="F107" s="11"/>
      <c r="G107" s="11"/>
      <c r="H107" s="11"/>
      <c r="I107" s="11"/>
    </row>
    <row r="108" spans="4:9" ht="14.25" customHeight="1" x14ac:dyDescent="0.2">
      <c r="D108" s="34"/>
      <c r="F108" s="11"/>
      <c r="G108" s="11"/>
      <c r="H108" s="11"/>
      <c r="I108" s="11"/>
    </row>
    <row r="109" spans="4:9" ht="14.25" customHeight="1" x14ac:dyDescent="0.2">
      <c r="D109" s="34"/>
      <c r="F109" s="11"/>
      <c r="G109" s="11"/>
      <c r="H109" s="11"/>
      <c r="I109" s="11"/>
    </row>
    <row r="110" spans="4:9" ht="14.25" customHeight="1" x14ac:dyDescent="0.2">
      <c r="D110" s="34"/>
      <c r="F110" s="11"/>
      <c r="G110" s="11"/>
      <c r="H110" s="11"/>
      <c r="I110" s="11"/>
    </row>
    <row r="111" spans="4:9" ht="14.25" customHeight="1" x14ac:dyDescent="0.2">
      <c r="D111" s="34"/>
      <c r="F111" s="11"/>
      <c r="G111" s="11"/>
      <c r="H111" s="11"/>
      <c r="I111" s="11"/>
    </row>
    <row r="112" spans="4:9" ht="14.25" customHeight="1" x14ac:dyDescent="0.2">
      <c r="D112" s="34"/>
      <c r="F112" s="11"/>
      <c r="G112" s="11"/>
      <c r="H112" s="11"/>
      <c r="I112" s="11"/>
    </row>
    <row r="113" spans="4:9" ht="14.25" customHeight="1" x14ac:dyDescent="0.2">
      <c r="D113" s="34"/>
      <c r="F113" s="11"/>
      <c r="G113" s="11"/>
      <c r="H113" s="11"/>
      <c r="I113" s="11"/>
    </row>
    <row r="114" spans="4:9" ht="14.25" customHeight="1" x14ac:dyDescent="0.2">
      <c r="D114" s="34"/>
      <c r="F114" s="11"/>
      <c r="G114" s="11"/>
      <c r="H114" s="11"/>
      <c r="I114" s="11"/>
    </row>
    <row r="115" spans="4:9" ht="14.25" customHeight="1" x14ac:dyDescent="0.2">
      <c r="D115" s="34"/>
      <c r="F115" s="11"/>
      <c r="G115" s="11"/>
      <c r="H115" s="11"/>
      <c r="I115" s="11"/>
    </row>
    <row r="116" spans="4:9" ht="14.25" customHeight="1" x14ac:dyDescent="0.2">
      <c r="D116" s="34"/>
      <c r="F116" s="11"/>
      <c r="G116" s="11"/>
      <c r="H116" s="11"/>
      <c r="I116" s="11"/>
    </row>
    <row r="117" spans="4:9" ht="14.25" customHeight="1" x14ac:dyDescent="0.2">
      <c r="D117" s="34"/>
      <c r="F117" s="11"/>
      <c r="G117" s="11"/>
      <c r="H117" s="11"/>
      <c r="I117" s="11"/>
    </row>
    <row r="118" spans="4:9" ht="14.25" customHeight="1" x14ac:dyDescent="0.2">
      <c r="D118" s="34"/>
      <c r="F118" s="11"/>
      <c r="G118" s="11"/>
      <c r="H118" s="11"/>
      <c r="I118" s="11"/>
    </row>
    <row r="119" spans="4:9" ht="14.25" customHeight="1" x14ac:dyDescent="0.2">
      <c r="D119" s="34"/>
      <c r="F119" s="11"/>
      <c r="G119" s="11"/>
      <c r="H119" s="11"/>
      <c r="I119" s="11"/>
    </row>
    <row r="120" spans="4:9" ht="14.25" customHeight="1" x14ac:dyDescent="0.2">
      <c r="D120" s="34"/>
      <c r="F120" s="11"/>
      <c r="G120" s="11"/>
      <c r="H120" s="11"/>
      <c r="I120" s="11"/>
    </row>
    <row r="121" spans="4:9" ht="14.25" customHeight="1" x14ac:dyDescent="0.2">
      <c r="D121" s="34"/>
      <c r="F121" s="11"/>
      <c r="G121" s="11"/>
      <c r="H121" s="11"/>
      <c r="I121" s="11"/>
    </row>
    <row r="122" spans="4:9" ht="14.25" customHeight="1" x14ac:dyDescent="0.2">
      <c r="D122" s="34"/>
      <c r="F122" s="11"/>
      <c r="G122" s="11"/>
      <c r="H122" s="11"/>
      <c r="I122" s="11"/>
    </row>
    <row r="123" spans="4:9" ht="14.25" customHeight="1" x14ac:dyDescent="0.2">
      <c r="D123" s="34"/>
      <c r="F123" s="11"/>
      <c r="G123" s="11"/>
      <c r="H123" s="11"/>
      <c r="I123" s="11"/>
    </row>
    <row r="124" spans="4:9" ht="14.25" customHeight="1" x14ac:dyDescent="0.2">
      <c r="D124" s="34"/>
      <c r="F124" s="11"/>
      <c r="G124" s="11"/>
      <c r="H124" s="11"/>
      <c r="I124" s="11"/>
    </row>
    <row r="125" spans="4:9" ht="14.25" customHeight="1" x14ac:dyDescent="0.2">
      <c r="D125" s="34"/>
      <c r="F125" s="11"/>
      <c r="G125" s="11"/>
      <c r="H125" s="11"/>
      <c r="I125" s="11"/>
    </row>
    <row r="126" spans="4:9" ht="14.25" customHeight="1" x14ac:dyDescent="0.2">
      <c r="D126" s="34"/>
      <c r="F126" s="11"/>
      <c r="G126" s="11"/>
      <c r="H126" s="11"/>
      <c r="I126" s="11"/>
    </row>
    <row r="127" spans="4:9" ht="14.25" customHeight="1" x14ac:dyDescent="0.2">
      <c r="D127" s="34"/>
      <c r="F127" s="11"/>
      <c r="G127" s="11"/>
      <c r="H127" s="11"/>
      <c r="I127" s="11"/>
    </row>
    <row r="128" spans="4:9" ht="14.25" customHeight="1" x14ac:dyDescent="0.2">
      <c r="D128" s="34"/>
      <c r="F128" s="11"/>
      <c r="G128" s="11"/>
      <c r="H128" s="11"/>
      <c r="I128" s="11"/>
    </row>
    <row r="129" spans="4:9" ht="14.25" customHeight="1" x14ac:dyDescent="0.2">
      <c r="D129" s="34"/>
      <c r="F129" s="11"/>
      <c r="G129" s="11"/>
      <c r="H129" s="11"/>
      <c r="I129" s="11"/>
    </row>
    <row r="130" spans="4:9" ht="14.25" customHeight="1" x14ac:dyDescent="0.2">
      <c r="D130" s="34"/>
      <c r="F130" s="11"/>
      <c r="G130" s="11"/>
      <c r="H130" s="11"/>
      <c r="I130" s="11"/>
    </row>
    <row r="131" spans="4:9" ht="14.25" customHeight="1" x14ac:dyDescent="0.2">
      <c r="D131" s="34"/>
      <c r="F131" s="11"/>
      <c r="G131" s="11"/>
      <c r="H131" s="11"/>
      <c r="I131" s="11"/>
    </row>
    <row r="132" spans="4:9" ht="14.25" customHeight="1" x14ac:dyDescent="0.2">
      <c r="D132" s="34"/>
      <c r="F132" s="11"/>
      <c r="G132" s="11"/>
      <c r="H132" s="11"/>
      <c r="I132" s="11"/>
    </row>
    <row r="133" spans="4:9" ht="14.25" customHeight="1" x14ac:dyDescent="0.2">
      <c r="D133" s="34"/>
      <c r="F133" s="11"/>
      <c r="G133" s="11"/>
      <c r="H133" s="11"/>
      <c r="I133" s="11"/>
    </row>
    <row r="134" spans="4:9" ht="14.25" customHeight="1" x14ac:dyDescent="0.2">
      <c r="D134" s="34"/>
      <c r="F134" s="11"/>
      <c r="G134" s="11"/>
      <c r="H134" s="11"/>
      <c r="I134" s="11"/>
    </row>
    <row r="135" spans="4:9" ht="14.25" customHeight="1" x14ac:dyDescent="0.2">
      <c r="D135" s="34"/>
      <c r="F135" s="11"/>
      <c r="G135" s="11"/>
      <c r="H135" s="11"/>
      <c r="I135" s="11"/>
    </row>
    <row r="136" spans="4:9" ht="14.25" customHeight="1" x14ac:dyDescent="0.2">
      <c r="D136" s="34"/>
      <c r="F136" s="11"/>
      <c r="G136" s="11"/>
      <c r="H136" s="11"/>
      <c r="I136" s="11"/>
    </row>
    <row r="137" spans="4:9" ht="14.25" customHeight="1" x14ac:dyDescent="0.2">
      <c r="D137" s="34"/>
      <c r="F137" s="11"/>
      <c r="G137" s="11"/>
      <c r="H137" s="11"/>
      <c r="I137" s="11"/>
    </row>
    <row r="138" spans="4:9" ht="14.25" customHeight="1" x14ac:dyDescent="0.2">
      <c r="D138" s="34"/>
      <c r="F138" s="11"/>
      <c r="G138" s="11"/>
      <c r="H138" s="11"/>
      <c r="I138" s="11"/>
    </row>
    <row r="139" spans="4:9" ht="14.25" customHeight="1" x14ac:dyDescent="0.2">
      <c r="D139" s="34"/>
      <c r="F139" s="11"/>
      <c r="G139" s="11"/>
      <c r="H139" s="11"/>
      <c r="I139" s="11"/>
    </row>
    <row r="140" spans="4:9" ht="14.25" customHeight="1" x14ac:dyDescent="0.2">
      <c r="D140" s="34"/>
      <c r="F140" s="11"/>
      <c r="G140" s="11"/>
      <c r="H140" s="11"/>
      <c r="I140" s="11"/>
    </row>
    <row r="141" spans="4:9" ht="14.25" customHeight="1" x14ac:dyDescent="0.2">
      <c r="D141" s="34"/>
      <c r="F141" s="11"/>
      <c r="G141" s="11"/>
      <c r="H141" s="11"/>
      <c r="I141" s="11"/>
    </row>
    <row r="142" spans="4:9" ht="14.25" customHeight="1" x14ac:dyDescent="0.2">
      <c r="D142" s="34"/>
      <c r="F142" s="11"/>
      <c r="G142" s="11"/>
      <c r="H142" s="11"/>
      <c r="I142" s="11"/>
    </row>
    <row r="143" spans="4:9" ht="14.25" customHeight="1" x14ac:dyDescent="0.2">
      <c r="D143" s="34"/>
      <c r="F143" s="11"/>
      <c r="G143" s="11"/>
      <c r="H143" s="11"/>
      <c r="I143" s="11"/>
    </row>
    <row r="144" spans="4:9" ht="14.25" customHeight="1" x14ac:dyDescent="0.2">
      <c r="D144" s="34"/>
      <c r="F144" s="11"/>
      <c r="G144" s="11"/>
      <c r="H144" s="11"/>
      <c r="I144" s="11"/>
    </row>
    <row r="145" spans="4:9" ht="14.25" customHeight="1" x14ac:dyDescent="0.2">
      <c r="D145" s="34"/>
      <c r="F145" s="11"/>
      <c r="G145" s="11"/>
      <c r="H145" s="11"/>
      <c r="I145" s="11"/>
    </row>
    <row r="146" spans="4:9" ht="14.25" customHeight="1" x14ac:dyDescent="0.2">
      <c r="D146" s="34"/>
      <c r="F146" s="11"/>
      <c r="G146" s="11"/>
      <c r="H146" s="11"/>
      <c r="I146" s="11"/>
    </row>
    <row r="147" spans="4:9" ht="14.25" customHeight="1" x14ac:dyDescent="0.2">
      <c r="D147" s="34"/>
      <c r="F147" s="11"/>
      <c r="G147" s="11"/>
      <c r="H147" s="11"/>
      <c r="I147" s="11"/>
    </row>
    <row r="148" spans="4:9" ht="14.25" customHeight="1" x14ac:dyDescent="0.2">
      <c r="D148" s="34"/>
      <c r="F148" s="11"/>
      <c r="G148" s="11"/>
      <c r="H148" s="11"/>
      <c r="I148" s="11"/>
    </row>
    <row r="149" spans="4:9" ht="14.25" customHeight="1" x14ac:dyDescent="0.2">
      <c r="D149" s="34"/>
      <c r="F149" s="11"/>
      <c r="G149" s="11"/>
      <c r="H149" s="11"/>
      <c r="I149" s="11"/>
    </row>
    <row r="150" spans="4:9" ht="14.25" customHeight="1" x14ac:dyDescent="0.2">
      <c r="D150" s="34"/>
      <c r="F150" s="11"/>
      <c r="G150" s="11"/>
      <c r="H150" s="11"/>
      <c r="I150" s="11"/>
    </row>
    <row r="151" spans="4:9" ht="14.25" customHeight="1" x14ac:dyDescent="0.2">
      <c r="D151" s="34"/>
      <c r="F151" s="11"/>
      <c r="G151" s="11"/>
      <c r="H151" s="11"/>
      <c r="I151" s="11"/>
    </row>
    <row r="152" spans="4:9" ht="14.25" customHeight="1" x14ac:dyDescent="0.2">
      <c r="D152" s="34"/>
      <c r="F152" s="11"/>
      <c r="G152" s="11"/>
      <c r="H152" s="11"/>
      <c r="I152" s="11"/>
    </row>
    <row r="153" spans="4:9" ht="14.25" customHeight="1" x14ac:dyDescent="0.2">
      <c r="D153" s="34"/>
      <c r="F153" s="11"/>
      <c r="G153" s="11"/>
      <c r="H153" s="11"/>
      <c r="I153" s="11"/>
    </row>
    <row r="154" spans="4:9" ht="14.25" customHeight="1" x14ac:dyDescent="0.2">
      <c r="D154" s="34"/>
      <c r="F154" s="11"/>
      <c r="G154" s="11"/>
      <c r="H154" s="11"/>
      <c r="I154" s="11"/>
    </row>
    <row r="155" spans="4:9" ht="14.25" customHeight="1" x14ac:dyDescent="0.2">
      <c r="D155" s="34"/>
      <c r="F155" s="11"/>
      <c r="G155" s="11"/>
      <c r="H155" s="11"/>
      <c r="I155" s="11"/>
    </row>
    <row r="156" spans="4:9" ht="14.25" customHeight="1" x14ac:dyDescent="0.2">
      <c r="D156" s="34"/>
      <c r="F156" s="11"/>
      <c r="G156" s="11"/>
      <c r="H156" s="11"/>
      <c r="I156" s="11"/>
    </row>
    <row r="157" spans="4:9" ht="14.25" customHeight="1" x14ac:dyDescent="0.2">
      <c r="D157" s="34"/>
      <c r="F157" s="11"/>
      <c r="G157" s="11"/>
      <c r="H157" s="11"/>
      <c r="I157" s="11"/>
    </row>
    <row r="158" spans="4:9" ht="14.25" customHeight="1" x14ac:dyDescent="0.2">
      <c r="D158" s="34"/>
      <c r="F158" s="11"/>
      <c r="G158" s="11"/>
      <c r="H158" s="11"/>
      <c r="I158" s="11"/>
    </row>
    <row r="159" spans="4:9" ht="14.25" customHeight="1" x14ac:dyDescent="0.2">
      <c r="D159" s="34"/>
      <c r="F159" s="11"/>
      <c r="G159" s="11"/>
      <c r="H159" s="11"/>
      <c r="I159" s="11"/>
    </row>
    <row r="160" spans="4:9" ht="14.25" customHeight="1" x14ac:dyDescent="0.2">
      <c r="D160" s="34"/>
      <c r="F160" s="11"/>
      <c r="G160" s="11"/>
      <c r="H160" s="11"/>
      <c r="I160" s="11"/>
    </row>
    <row r="161" spans="4:9" ht="14.25" customHeight="1" x14ac:dyDescent="0.2">
      <c r="D161" s="34"/>
      <c r="F161" s="11"/>
      <c r="G161" s="11"/>
      <c r="H161" s="11"/>
      <c r="I161" s="11"/>
    </row>
    <row r="162" spans="4:9" ht="14.25" customHeight="1" x14ac:dyDescent="0.2">
      <c r="D162" s="34"/>
      <c r="F162" s="11"/>
      <c r="G162" s="11"/>
      <c r="H162" s="11"/>
      <c r="I162" s="11"/>
    </row>
    <row r="163" spans="4:9" ht="14.25" customHeight="1" x14ac:dyDescent="0.2">
      <c r="D163" s="34"/>
      <c r="F163" s="11"/>
      <c r="G163" s="11"/>
      <c r="H163" s="11"/>
      <c r="I163" s="11"/>
    </row>
    <row r="164" spans="4:9" ht="14.25" customHeight="1" x14ac:dyDescent="0.2">
      <c r="D164" s="34"/>
      <c r="F164" s="11"/>
      <c r="G164" s="11"/>
      <c r="H164" s="11"/>
      <c r="I164" s="11"/>
    </row>
    <row r="165" spans="4:9" ht="14.25" customHeight="1" x14ac:dyDescent="0.2">
      <c r="D165" s="34"/>
      <c r="F165" s="11"/>
      <c r="G165" s="11"/>
      <c r="H165" s="11"/>
      <c r="I165" s="11"/>
    </row>
    <row r="166" spans="4:9" ht="14.25" customHeight="1" x14ac:dyDescent="0.2">
      <c r="D166" s="34"/>
      <c r="F166" s="11"/>
      <c r="G166" s="11"/>
      <c r="H166" s="11"/>
      <c r="I166" s="11"/>
    </row>
    <row r="167" spans="4:9" ht="14.25" customHeight="1" x14ac:dyDescent="0.2">
      <c r="D167" s="34"/>
      <c r="F167" s="11"/>
      <c r="G167" s="11"/>
      <c r="H167" s="11"/>
      <c r="I167" s="11"/>
    </row>
    <row r="168" spans="4:9" ht="14.25" customHeight="1" x14ac:dyDescent="0.2">
      <c r="D168" s="34"/>
      <c r="F168" s="11"/>
      <c r="G168" s="11"/>
      <c r="H168" s="11"/>
      <c r="I168" s="11"/>
    </row>
    <row r="169" spans="4:9" ht="14.25" customHeight="1" x14ac:dyDescent="0.2">
      <c r="D169" s="34"/>
      <c r="F169" s="11"/>
      <c r="G169" s="11"/>
      <c r="H169" s="11"/>
      <c r="I169" s="11"/>
    </row>
    <row r="170" spans="4:9" ht="14.25" customHeight="1" x14ac:dyDescent="0.2">
      <c r="D170" s="34"/>
      <c r="F170" s="11"/>
      <c r="G170" s="11"/>
      <c r="H170" s="11"/>
      <c r="I170" s="11"/>
    </row>
    <row r="171" spans="4:9" ht="14.25" customHeight="1" x14ac:dyDescent="0.2">
      <c r="D171" s="34"/>
      <c r="F171" s="11"/>
      <c r="G171" s="11"/>
      <c r="H171" s="11"/>
      <c r="I171" s="11"/>
    </row>
    <row r="172" spans="4:9" ht="14.25" customHeight="1" x14ac:dyDescent="0.2">
      <c r="D172" s="34"/>
      <c r="F172" s="11"/>
      <c r="G172" s="11"/>
      <c r="H172" s="11"/>
      <c r="I172" s="11"/>
    </row>
    <row r="173" spans="4:9" ht="14.25" customHeight="1" x14ac:dyDescent="0.2">
      <c r="D173" s="34"/>
      <c r="F173" s="11"/>
      <c r="G173" s="11"/>
      <c r="H173" s="11"/>
      <c r="I173" s="11"/>
    </row>
    <row r="174" spans="4:9" ht="14.25" customHeight="1" x14ac:dyDescent="0.2">
      <c r="D174" s="34"/>
      <c r="F174" s="11"/>
      <c r="G174" s="11"/>
      <c r="H174" s="11"/>
      <c r="I174" s="11"/>
    </row>
    <row r="175" spans="4:9" ht="14.25" customHeight="1" x14ac:dyDescent="0.2">
      <c r="D175" s="34"/>
      <c r="F175" s="11"/>
      <c r="G175" s="11"/>
      <c r="H175" s="11"/>
      <c r="I175" s="11"/>
    </row>
    <row r="176" spans="4:9" ht="14.25" customHeight="1" x14ac:dyDescent="0.2">
      <c r="D176" s="34"/>
      <c r="F176" s="11"/>
      <c r="G176" s="11"/>
      <c r="H176" s="11"/>
      <c r="I176" s="11"/>
    </row>
    <row r="177" spans="4:9" ht="14.25" customHeight="1" x14ac:dyDescent="0.2">
      <c r="D177" s="34"/>
      <c r="F177" s="11"/>
      <c r="G177" s="11"/>
      <c r="H177" s="11"/>
      <c r="I177" s="11"/>
    </row>
    <row r="178" spans="4:9" ht="14.25" customHeight="1" x14ac:dyDescent="0.2">
      <c r="D178" s="34"/>
      <c r="F178" s="11"/>
      <c r="G178" s="11"/>
      <c r="H178" s="11"/>
      <c r="I178" s="11"/>
    </row>
    <row r="179" spans="4:9" ht="14.25" customHeight="1" x14ac:dyDescent="0.2">
      <c r="D179" s="34"/>
      <c r="F179" s="11"/>
      <c r="G179" s="11"/>
      <c r="H179" s="11"/>
      <c r="I179" s="11"/>
    </row>
    <row r="180" spans="4:9" ht="14.25" customHeight="1" x14ac:dyDescent="0.2">
      <c r="D180" s="34"/>
      <c r="F180" s="11"/>
      <c r="G180" s="11"/>
      <c r="H180" s="11"/>
      <c r="I180" s="11"/>
    </row>
    <row r="181" spans="4:9" ht="14.25" customHeight="1" x14ac:dyDescent="0.2">
      <c r="D181" s="34"/>
      <c r="F181" s="11"/>
      <c r="G181" s="11"/>
      <c r="H181" s="11"/>
      <c r="I181" s="11"/>
    </row>
    <row r="182" spans="4:9" ht="14.25" customHeight="1" x14ac:dyDescent="0.2">
      <c r="D182" s="34"/>
      <c r="F182" s="11"/>
      <c r="G182" s="11"/>
      <c r="H182" s="11"/>
      <c r="I182" s="11"/>
    </row>
    <row r="183" spans="4:9" ht="14.25" customHeight="1" x14ac:dyDescent="0.2">
      <c r="D183" s="34"/>
      <c r="F183" s="11"/>
      <c r="G183" s="11"/>
      <c r="H183" s="11"/>
      <c r="I183" s="11"/>
    </row>
    <row r="184" spans="4:9" ht="14.25" customHeight="1" x14ac:dyDescent="0.2">
      <c r="D184" s="34"/>
      <c r="F184" s="11"/>
      <c r="G184" s="11"/>
      <c r="H184" s="11"/>
      <c r="I184" s="11"/>
    </row>
    <row r="185" spans="4:9" ht="14.25" customHeight="1" x14ac:dyDescent="0.2">
      <c r="D185" s="34"/>
      <c r="F185" s="11"/>
      <c r="G185" s="11"/>
      <c r="H185" s="11"/>
      <c r="I185" s="11"/>
    </row>
    <row r="186" spans="4:9" ht="14.25" customHeight="1" x14ac:dyDescent="0.2">
      <c r="D186" s="34"/>
      <c r="F186" s="11"/>
      <c r="G186" s="11"/>
      <c r="H186" s="11"/>
      <c r="I186" s="11"/>
    </row>
    <row r="187" spans="4:9" ht="14.25" customHeight="1" x14ac:dyDescent="0.2">
      <c r="D187" s="34"/>
      <c r="F187" s="11"/>
      <c r="G187" s="11"/>
      <c r="H187" s="11"/>
      <c r="I187" s="11"/>
    </row>
    <row r="188" spans="4:9" ht="14.25" customHeight="1" x14ac:dyDescent="0.2">
      <c r="D188" s="34"/>
      <c r="F188" s="11"/>
      <c r="G188" s="11"/>
      <c r="H188" s="11"/>
      <c r="I188" s="11"/>
    </row>
    <row r="189" spans="4:9" ht="14.25" customHeight="1" x14ac:dyDescent="0.2">
      <c r="D189" s="34"/>
      <c r="F189" s="11"/>
      <c r="G189" s="11"/>
      <c r="H189" s="11"/>
      <c r="I189" s="11"/>
    </row>
    <row r="190" spans="4:9" ht="14.25" customHeight="1" x14ac:dyDescent="0.2">
      <c r="D190" s="34"/>
      <c r="F190" s="11"/>
      <c r="G190" s="11"/>
      <c r="H190" s="11"/>
      <c r="I190" s="11"/>
    </row>
    <row r="191" spans="4:9" ht="14.25" customHeight="1" x14ac:dyDescent="0.2">
      <c r="D191" s="34"/>
      <c r="F191" s="11"/>
      <c r="G191" s="11"/>
      <c r="H191" s="11"/>
      <c r="I191" s="11"/>
    </row>
    <row r="192" spans="4:9" ht="14.25" customHeight="1" x14ac:dyDescent="0.2">
      <c r="D192" s="34"/>
      <c r="F192" s="11"/>
      <c r="G192" s="11"/>
      <c r="H192" s="11"/>
      <c r="I192" s="11"/>
    </row>
    <row r="193" spans="4:9" ht="14.25" customHeight="1" x14ac:dyDescent="0.2">
      <c r="D193" s="34"/>
      <c r="F193" s="11"/>
      <c r="G193" s="11"/>
      <c r="H193" s="11"/>
      <c r="I193" s="11"/>
    </row>
    <row r="194" spans="4:9" ht="14.25" customHeight="1" x14ac:dyDescent="0.2">
      <c r="D194" s="34"/>
      <c r="F194" s="11"/>
      <c r="G194" s="11"/>
      <c r="H194" s="11"/>
      <c r="I194" s="11"/>
    </row>
    <row r="195" spans="4:9" ht="14.25" customHeight="1" x14ac:dyDescent="0.2">
      <c r="D195" s="34"/>
      <c r="F195" s="11"/>
      <c r="G195" s="11"/>
      <c r="H195" s="11"/>
      <c r="I195" s="11"/>
    </row>
    <row r="196" spans="4:9" ht="14.25" customHeight="1" x14ac:dyDescent="0.2">
      <c r="D196" s="34"/>
      <c r="F196" s="11"/>
      <c r="G196" s="11"/>
      <c r="H196" s="11"/>
      <c r="I196" s="11"/>
    </row>
    <row r="197" spans="4:9" ht="14.25" customHeight="1" x14ac:dyDescent="0.2">
      <c r="D197" s="34"/>
      <c r="F197" s="11"/>
      <c r="G197" s="11"/>
      <c r="H197" s="11"/>
      <c r="I197" s="11"/>
    </row>
    <row r="198" spans="4:9" ht="14.25" customHeight="1" x14ac:dyDescent="0.2">
      <c r="D198" s="34"/>
      <c r="F198" s="11"/>
      <c r="G198" s="11"/>
      <c r="H198" s="11"/>
      <c r="I198" s="11"/>
    </row>
    <row r="199" spans="4:9" ht="14.25" customHeight="1" x14ac:dyDescent="0.2">
      <c r="D199" s="34"/>
      <c r="F199" s="11"/>
      <c r="G199" s="11"/>
      <c r="H199" s="11"/>
      <c r="I199" s="11"/>
    </row>
    <row r="200" spans="4:9" ht="14.25" customHeight="1" x14ac:dyDescent="0.2">
      <c r="D200" s="34"/>
      <c r="F200" s="11"/>
      <c r="G200" s="11"/>
      <c r="H200" s="11"/>
      <c r="I200" s="11"/>
    </row>
    <row r="201" spans="4:9" ht="14.25" customHeight="1" x14ac:dyDescent="0.2">
      <c r="D201" s="34"/>
      <c r="F201" s="11"/>
      <c r="G201" s="11"/>
      <c r="H201" s="11"/>
      <c r="I201" s="11"/>
    </row>
    <row r="202" spans="4:9" ht="14.25" customHeight="1" x14ac:dyDescent="0.2">
      <c r="D202" s="34"/>
      <c r="F202" s="11"/>
      <c r="G202" s="11"/>
      <c r="H202" s="11"/>
      <c r="I202" s="11"/>
    </row>
    <row r="203" spans="4:9" ht="14.25" customHeight="1" x14ac:dyDescent="0.2">
      <c r="D203" s="34"/>
      <c r="F203" s="11"/>
      <c r="G203" s="11"/>
      <c r="H203" s="11"/>
      <c r="I203" s="11"/>
    </row>
    <row r="204" spans="4:9" ht="14.25" customHeight="1" x14ac:dyDescent="0.2">
      <c r="D204" s="34"/>
      <c r="F204" s="11"/>
      <c r="G204" s="11"/>
      <c r="H204" s="11"/>
      <c r="I204" s="11"/>
    </row>
    <row r="205" spans="4:9" ht="14.25" customHeight="1" x14ac:dyDescent="0.2">
      <c r="D205" s="34"/>
      <c r="F205" s="11"/>
      <c r="G205" s="11"/>
      <c r="H205" s="11"/>
      <c r="I205" s="11"/>
    </row>
    <row r="206" spans="4:9" ht="14.25" customHeight="1" x14ac:dyDescent="0.2">
      <c r="D206" s="34"/>
      <c r="F206" s="11"/>
      <c r="G206" s="11"/>
      <c r="H206" s="11"/>
      <c r="I206" s="11"/>
    </row>
    <row r="207" spans="4:9" ht="14.25" customHeight="1" x14ac:dyDescent="0.2">
      <c r="D207" s="34"/>
      <c r="F207" s="11"/>
      <c r="G207" s="11"/>
      <c r="H207" s="11"/>
      <c r="I207" s="11"/>
    </row>
    <row r="208" spans="4:9" ht="14.25" customHeight="1" x14ac:dyDescent="0.2">
      <c r="D208" s="34"/>
      <c r="F208" s="11"/>
      <c r="G208" s="11"/>
      <c r="H208" s="11"/>
      <c r="I208" s="11"/>
    </row>
    <row r="209" spans="4:9" ht="14.25" customHeight="1" x14ac:dyDescent="0.2">
      <c r="D209" s="34"/>
      <c r="F209" s="11"/>
      <c r="G209" s="11"/>
      <c r="H209" s="11"/>
      <c r="I209" s="11"/>
    </row>
    <row r="210" spans="4:9" ht="14.25" customHeight="1" x14ac:dyDescent="0.2">
      <c r="D210" s="34"/>
      <c r="F210" s="11"/>
      <c r="G210" s="11"/>
      <c r="H210" s="11"/>
      <c r="I210" s="11"/>
    </row>
    <row r="211" spans="4:9" ht="14.25" customHeight="1" x14ac:dyDescent="0.2">
      <c r="D211" s="34"/>
      <c r="F211" s="11"/>
      <c r="G211" s="11"/>
      <c r="H211" s="11"/>
      <c r="I211" s="11"/>
    </row>
    <row r="212" spans="4:9" ht="14.25" customHeight="1" x14ac:dyDescent="0.2">
      <c r="D212" s="34"/>
      <c r="F212" s="11"/>
      <c r="G212" s="11"/>
      <c r="H212" s="11"/>
      <c r="I212" s="11"/>
    </row>
    <row r="213" spans="4:9" ht="14.25" customHeight="1" x14ac:dyDescent="0.2">
      <c r="D213" s="34"/>
      <c r="F213" s="11"/>
      <c r="G213" s="11"/>
      <c r="H213" s="11"/>
      <c r="I213" s="11"/>
    </row>
    <row r="214" spans="4:9" ht="14.25" customHeight="1" x14ac:dyDescent="0.2">
      <c r="D214" s="34"/>
      <c r="F214" s="11"/>
      <c r="G214" s="11"/>
      <c r="H214" s="11"/>
      <c r="I214" s="11"/>
    </row>
    <row r="215" spans="4:9" ht="14.25" customHeight="1" x14ac:dyDescent="0.2">
      <c r="D215" s="34"/>
      <c r="F215" s="11"/>
      <c r="G215" s="11"/>
      <c r="H215" s="11"/>
      <c r="I215" s="11"/>
    </row>
    <row r="216" spans="4:9" ht="14.25" customHeight="1" x14ac:dyDescent="0.2">
      <c r="D216" s="34"/>
      <c r="F216" s="11"/>
      <c r="G216" s="11"/>
      <c r="H216" s="11"/>
      <c r="I216" s="11"/>
    </row>
    <row r="217" spans="4:9" ht="14.25" customHeight="1" x14ac:dyDescent="0.2">
      <c r="D217" s="34"/>
      <c r="F217" s="11"/>
      <c r="G217" s="11"/>
      <c r="H217" s="11"/>
      <c r="I217" s="11"/>
    </row>
    <row r="218" spans="4:9" ht="14.25" customHeight="1" x14ac:dyDescent="0.2">
      <c r="D218" s="34"/>
      <c r="F218" s="11"/>
      <c r="G218" s="11"/>
      <c r="H218" s="11"/>
      <c r="I218" s="11"/>
    </row>
    <row r="219" spans="4:9" ht="14.25" customHeight="1" x14ac:dyDescent="0.2">
      <c r="D219" s="34"/>
      <c r="F219" s="11"/>
      <c r="G219" s="11"/>
      <c r="H219" s="11"/>
      <c r="I219" s="11"/>
    </row>
    <row r="220" spans="4:9" ht="14.25" customHeight="1" x14ac:dyDescent="0.2">
      <c r="D220" s="34"/>
      <c r="F220" s="11"/>
      <c r="G220" s="11"/>
      <c r="H220" s="11"/>
      <c r="I220" s="11"/>
    </row>
    <row r="221" spans="4:9" ht="14.25" customHeight="1" x14ac:dyDescent="0.2">
      <c r="D221" s="34"/>
      <c r="F221" s="11"/>
      <c r="G221" s="11"/>
      <c r="H221" s="11"/>
      <c r="I221" s="11"/>
    </row>
    <row r="222" spans="4:9" ht="14.25" customHeight="1" x14ac:dyDescent="0.2">
      <c r="D222" s="34"/>
      <c r="F222" s="11"/>
      <c r="G222" s="11"/>
      <c r="H222" s="11"/>
      <c r="I222" s="11"/>
    </row>
    <row r="223" spans="4:9" ht="14.25" customHeight="1" x14ac:dyDescent="0.2">
      <c r="D223" s="34"/>
      <c r="F223" s="11"/>
      <c r="G223" s="11"/>
      <c r="H223" s="11"/>
      <c r="I223" s="11"/>
    </row>
    <row r="224" spans="4:9" ht="14.25" customHeight="1" x14ac:dyDescent="0.2">
      <c r="D224" s="34"/>
      <c r="F224" s="11"/>
      <c r="G224" s="11"/>
      <c r="H224" s="11"/>
      <c r="I224" s="11"/>
    </row>
    <row r="225" spans="4:9" ht="14.25" customHeight="1" x14ac:dyDescent="0.2">
      <c r="D225" s="34"/>
      <c r="F225" s="11"/>
      <c r="G225" s="11"/>
      <c r="H225" s="11"/>
      <c r="I225" s="11"/>
    </row>
    <row r="226" spans="4:9" ht="14.25" customHeight="1" x14ac:dyDescent="0.2">
      <c r="D226" s="34"/>
      <c r="F226" s="11"/>
      <c r="G226" s="11"/>
      <c r="H226" s="11"/>
      <c r="I226" s="11"/>
    </row>
    <row r="227" spans="4:9" ht="14.25" customHeight="1" x14ac:dyDescent="0.2">
      <c r="D227" s="34"/>
      <c r="F227" s="11"/>
      <c r="G227" s="11"/>
      <c r="H227" s="11"/>
      <c r="I227" s="11"/>
    </row>
    <row r="228" spans="4:9" ht="14.25" customHeight="1" x14ac:dyDescent="0.2">
      <c r="D228" s="34"/>
      <c r="F228" s="11"/>
      <c r="G228" s="11"/>
      <c r="H228" s="11"/>
      <c r="I228" s="11"/>
    </row>
    <row r="229" spans="4:9" ht="14.25" customHeight="1" x14ac:dyDescent="0.2">
      <c r="D229" s="34"/>
      <c r="F229" s="11"/>
      <c r="G229" s="11"/>
      <c r="H229" s="11"/>
      <c r="I229" s="11"/>
    </row>
    <row r="230" spans="4:9" ht="14.25" customHeight="1" x14ac:dyDescent="0.2">
      <c r="D230" s="34"/>
      <c r="F230" s="11"/>
      <c r="G230" s="11"/>
      <c r="H230" s="11"/>
      <c r="I230" s="11"/>
    </row>
    <row r="231" spans="4:9" ht="14.25" customHeight="1" x14ac:dyDescent="0.2">
      <c r="D231" s="34"/>
      <c r="F231" s="11"/>
      <c r="G231" s="11"/>
      <c r="H231" s="11"/>
      <c r="I231" s="11"/>
    </row>
    <row r="232" spans="4:9" ht="14.25" customHeight="1" x14ac:dyDescent="0.2">
      <c r="D232" s="34"/>
      <c r="F232" s="11"/>
      <c r="G232" s="11"/>
      <c r="H232" s="11"/>
      <c r="I232" s="11"/>
    </row>
    <row r="233" spans="4:9" ht="14.25" customHeight="1" x14ac:dyDescent="0.2">
      <c r="D233" s="34"/>
      <c r="F233" s="11"/>
      <c r="G233" s="11"/>
      <c r="H233" s="11"/>
      <c r="I233" s="11"/>
    </row>
    <row r="234" spans="4:9" ht="14.25" customHeight="1" x14ac:dyDescent="0.2">
      <c r="D234" s="34"/>
      <c r="F234" s="11"/>
      <c r="G234" s="11"/>
      <c r="H234" s="11"/>
      <c r="I234" s="11"/>
    </row>
    <row r="235" spans="4:9" ht="14.25" customHeight="1" x14ac:dyDescent="0.2">
      <c r="D235" s="34"/>
      <c r="F235" s="11"/>
      <c r="G235" s="11"/>
      <c r="H235" s="11"/>
      <c r="I235" s="11"/>
    </row>
    <row r="236" spans="4:9" ht="14.25" customHeight="1" x14ac:dyDescent="0.2">
      <c r="D236" s="34"/>
      <c r="F236" s="11"/>
      <c r="G236" s="11"/>
      <c r="H236" s="11"/>
      <c r="I236" s="11"/>
    </row>
    <row r="237" spans="4:9" ht="14.25" customHeight="1" x14ac:dyDescent="0.2">
      <c r="D237" s="34"/>
      <c r="F237" s="11"/>
      <c r="G237" s="11"/>
      <c r="H237" s="11"/>
      <c r="I237" s="11"/>
    </row>
    <row r="238" spans="4:9" ht="14.25" customHeight="1" x14ac:dyDescent="0.2">
      <c r="D238" s="34"/>
      <c r="F238" s="11"/>
      <c r="G238" s="11"/>
      <c r="H238" s="11"/>
      <c r="I238" s="11"/>
    </row>
    <row r="239" spans="4:9" ht="14.25" customHeight="1" x14ac:dyDescent="0.2">
      <c r="D239" s="34"/>
      <c r="F239" s="11"/>
      <c r="G239" s="11"/>
      <c r="H239" s="11"/>
      <c r="I239" s="11"/>
    </row>
    <row r="240" spans="4:9" ht="14.25" customHeight="1" x14ac:dyDescent="0.2">
      <c r="D240" s="34"/>
      <c r="F240" s="11"/>
      <c r="G240" s="11"/>
      <c r="H240" s="11"/>
      <c r="I240" s="11"/>
    </row>
    <row r="241" spans="4:9" ht="14.25" customHeight="1" x14ac:dyDescent="0.2">
      <c r="D241" s="34"/>
      <c r="F241" s="11"/>
      <c r="G241" s="11"/>
      <c r="H241" s="11"/>
      <c r="I241" s="11"/>
    </row>
    <row r="242" spans="4:9" ht="14.25" customHeight="1" x14ac:dyDescent="0.2">
      <c r="D242" s="34"/>
      <c r="F242" s="11"/>
      <c r="G242" s="11"/>
      <c r="H242" s="11"/>
      <c r="I242" s="11"/>
    </row>
    <row r="243" spans="4:9" ht="14.25" customHeight="1" x14ac:dyDescent="0.2">
      <c r="D243" s="34"/>
      <c r="F243" s="11"/>
      <c r="G243" s="11"/>
      <c r="H243" s="11"/>
      <c r="I243" s="11"/>
    </row>
    <row r="244" spans="4:9" ht="14.25" customHeight="1" x14ac:dyDescent="0.2">
      <c r="D244" s="34"/>
      <c r="F244" s="11"/>
      <c r="G244" s="11"/>
      <c r="H244" s="11"/>
      <c r="I244" s="11"/>
    </row>
    <row r="245" spans="4:9" ht="14.25" customHeight="1" x14ac:dyDescent="0.2">
      <c r="D245" s="34"/>
      <c r="F245" s="11"/>
      <c r="G245" s="11"/>
      <c r="H245" s="11"/>
      <c r="I245" s="11"/>
    </row>
    <row r="246" spans="4:9" ht="14.25" customHeight="1" x14ac:dyDescent="0.2">
      <c r="D246" s="34"/>
      <c r="F246" s="11"/>
      <c r="G246" s="11"/>
      <c r="H246" s="11"/>
      <c r="I246" s="11"/>
    </row>
    <row r="247" spans="4:9" ht="14.25" customHeight="1" x14ac:dyDescent="0.2">
      <c r="D247" s="34"/>
      <c r="F247" s="11"/>
      <c r="G247" s="11"/>
      <c r="H247" s="11"/>
      <c r="I247" s="11"/>
    </row>
    <row r="248" spans="4:9" ht="14.25" customHeight="1" x14ac:dyDescent="0.2">
      <c r="D248" s="34"/>
      <c r="F248" s="11"/>
      <c r="G248" s="11"/>
      <c r="H248" s="11"/>
      <c r="I248" s="11"/>
    </row>
    <row r="249" spans="4:9" ht="14.25" customHeight="1" x14ac:dyDescent="0.2">
      <c r="D249" s="34"/>
      <c r="F249" s="11"/>
      <c r="G249" s="11"/>
      <c r="H249" s="11"/>
      <c r="I249" s="11"/>
    </row>
    <row r="250" spans="4:9" ht="14.25" customHeight="1" x14ac:dyDescent="0.2">
      <c r="D250" s="34"/>
      <c r="F250" s="11"/>
      <c r="G250" s="11"/>
      <c r="H250" s="11"/>
      <c r="I250" s="11"/>
    </row>
    <row r="251" spans="4:9" ht="14.25" customHeight="1" x14ac:dyDescent="0.2">
      <c r="D251" s="34"/>
      <c r="F251" s="11"/>
      <c r="G251" s="11"/>
      <c r="H251" s="11"/>
      <c r="I251" s="11"/>
    </row>
    <row r="252" spans="4:9" ht="14.25" customHeight="1" x14ac:dyDescent="0.2">
      <c r="D252" s="34"/>
      <c r="F252" s="11"/>
      <c r="G252" s="11"/>
      <c r="H252" s="11"/>
      <c r="I252" s="11"/>
    </row>
    <row r="253" spans="4:9" ht="14.25" customHeight="1" x14ac:dyDescent="0.2">
      <c r="D253" s="34"/>
      <c r="F253" s="11"/>
      <c r="G253" s="11"/>
      <c r="H253" s="11"/>
      <c r="I253" s="11"/>
    </row>
    <row r="254" spans="4:9" ht="14.25" customHeight="1" x14ac:dyDescent="0.2">
      <c r="D254" s="34"/>
      <c r="F254" s="11"/>
      <c r="G254" s="11"/>
      <c r="H254" s="11"/>
      <c r="I254" s="11"/>
    </row>
    <row r="255" spans="4:9" ht="14.25" customHeight="1" x14ac:dyDescent="0.2">
      <c r="D255" s="34"/>
      <c r="F255" s="11"/>
      <c r="G255" s="11"/>
      <c r="H255" s="11"/>
      <c r="I255" s="11"/>
    </row>
    <row r="256" spans="4:9" ht="14.25" customHeight="1" x14ac:dyDescent="0.2">
      <c r="D256" s="34"/>
      <c r="F256" s="11"/>
      <c r="G256" s="11"/>
      <c r="H256" s="11"/>
      <c r="I256" s="11"/>
    </row>
    <row r="257" spans="4:9" ht="14.25" customHeight="1" x14ac:dyDescent="0.2">
      <c r="D257" s="34"/>
      <c r="F257" s="11"/>
      <c r="G257" s="11"/>
      <c r="H257" s="11"/>
      <c r="I257" s="11"/>
    </row>
    <row r="258" spans="4:9" ht="14.25" customHeight="1" x14ac:dyDescent="0.2">
      <c r="D258" s="34"/>
      <c r="F258" s="11"/>
      <c r="G258" s="11"/>
      <c r="H258" s="11"/>
      <c r="I258" s="11"/>
    </row>
    <row r="259" spans="4:9" ht="14.25" customHeight="1" x14ac:dyDescent="0.2">
      <c r="D259" s="34"/>
      <c r="F259" s="11"/>
      <c r="G259" s="11"/>
      <c r="H259" s="11"/>
      <c r="I259" s="11"/>
    </row>
    <row r="260" spans="4:9" ht="14.25" customHeight="1" x14ac:dyDescent="0.2">
      <c r="D260" s="34"/>
      <c r="F260" s="11"/>
      <c r="G260" s="11"/>
      <c r="H260" s="11"/>
      <c r="I260" s="11"/>
    </row>
    <row r="261" spans="4:9" ht="14.25" customHeight="1" x14ac:dyDescent="0.2">
      <c r="D261" s="34"/>
      <c r="F261" s="11"/>
      <c r="G261" s="11"/>
      <c r="H261" s="11"/>
      <c r="I261" s="11"/>
    </row>
    <row r="262" spans="4:9" ht="14.25" customHeight="1" x14ac:dyDescent="0.2">
      <c r="D262" s="34"/>
      <c r="F262" s="11"/>
      <c r="G262" s="11"/>
      <c r="H262" s="11"/>
      <c r="I262" s="11"/>
    </row>
    <row r="263" spans="4:9" ht="14.25" customHeight="1" x14ac:dyDescent="0.2">
      <c r="D263" s="34"/>
      <c r="F263" s="11"/>
      <c r="G263" s="11"/>
      <c r="H263" s="11"/>
      <c r="I263" s="11"/>
    </row>
    <row r="264" spans="4:9" ht="14.25" customHeight="1" x14ac:dyDescent="0.2">
      <c r="D264" s="34"/>
      <c r="F264" s="11"/>
      <c r="G264" s="11"/>
      <c r="H264" s="11"/>
      <c r="I264" s="11"/>
    </row>
    <row r="265" spans="4:9" ht="14.25" customHeight="1" x14ac:dyDescent="0.2">
      <c r="D265" s="34"/>
      <c r="F265" s="11"/>
      <c r="G265" s="11"/>
      <c r="H265" s="11"/>
      <c r="I265" s="11"/>
    </row>
    <row r="266" spans="4:9" ht="14.25" customHeight="1" x14ac:dyDescent="0.2">
      <c r="D266" s="34"/>
      <c r="F266" s="11"/>
      <c r="G266" s="11"/>
      <c r="H266" s="11"/>
      <c r="I266" s="11"/>
    </row>
    <row r="267" spans="4:9" ht="14.25" customHeight="1" x14ac:dyDescent="0.2">
      <c r="D267" s="34"/>
      <c r="F267" s="11"/>
      <c r="G267" s="11"/>
      <c r="H267" s="11"/>
      <c r="I267" s="11"/>
    </row>
    <row r="268" spans="4:9" ht="14.25" customHeight="1" x14ac:dyDescent="0.2">
      <c r="D268" s="34"/>
      <c r="F268" s="11"/>
      <c r="G268" s="11"/>
      <c r="H268" s="11"/>
      <c r="I268" s="11"/>
    </row>
    <row r="269" spans="4:9" ht="14.25" customHeight="1" x14ac:dyDescent="0.2">
      <c r="D269" s="34"/>
      <c r="F269" s="11"/>
      <c r="G269" s="11"/>
      <c r="H269" s="11"/>
      <c r="I269" s="11"/>
    </row>
    <row r="270" spans="4:9" ht="14.25" customHeight="1" x14ac:dyDescent="0.2">
      <c r="D270" s="34"/>
      <c r="F270" s="11"/>
      <c r="G270" s="11"/>
      <c r="H270" s="11"/>
      <c r="I270" s="11"/>
    </row>
    <row r="271" spans="4:9" ht="14.25" customHeight="1" x14ac:dyDescent="0.2">
      <c r="D271" s="34"/>
      <c r="F271" s="11"/>
      <c r="G271" s="11"/>
      <c r="H271" s="11"/>
      <c r="I271" s="11"/>
    </row>
    <row r="272" spans="4:9" ht="14.25" customHeight="1" x14ac:dyDescent="0.2">
      <c r="D272" s="34"/>
      <c r="F272" s="11"/>
      <c r="G272" s="11"/>
      <c r="H272" s="11"/>
      <c r="I272" s="11"/>
    </row>
    <row r="273" spans="4:9" ht="14.25" customHeight="1" x14ac:dyDescent="0.2">
      <c r="D273" s="34"/>
      <c r="F273" s="11"/>
      <c r="G273" s="11"/>
      <c r="H273" s="11"/>
      <c r="I273" s="11"/>
    </row>
    <row r="274" spans="4:9" ht="14.25" customHeight="1" x14ac:dyDescent="0.2">
      <c r="D274" s="34"/>
      <c r="F274" s="11"/>
      <c r="G274" s="11"/>
      <c r="H274" s="11"/>
      <c r="I274" s="11"/>
    </row>
    <row r="275" spans="4:9" ht="14.25" customHeight="1" x14ac:dyDescent="0.2">
      <c r="D275" s="34"/>
      <c r="F275" s="11"/>
      <c r="G275" s="11"/>
      <c r="H275" s="11"/>
      <c r="I275" s="11"/>
    </row>
    <row r="276" spans="4:9" ht="14.25" customHeight="1" x14ac:dyDescent="0.2">
      <c r="D276" s="34"/>
      <c r="F276" s="11"/>
      <c r="G276" s="11"/>
      <c r="H276" s="11"/>
      <c r="I276" s="11"/>
    </row>
    <row r="277" spans="4:9" ht="14.25" customHeight="1" x14ac:dyDescent="0.2">
      <c r="D277" s="34"/>
      <c r="F277" s="11"/>
      <c r="G277" s="11"/>
      <c r="H277" s="11"/>
      <c r="I277" s="11"/>
    </row>
    <row r="278" spans="4:9" ht="14.25" customHeight="1" x14ac:dyDescent="0.2">
      <c r="D278" s="34"/>
      <c r="F278" s="11"/>
      <c r="G278" s="11"/>
      <c r="H278" s="11"/>
      <c r="I278" s="11"/>
    </row>
    <row r="279" spans="4:9" ht="14.25" customHeight="1" x14ac:dyDescent="0.2">
      <c r="D279" s="34"/>
      <c r="F279" s="11"/>
      <c r="G279" s="11"/>
      <c r="H279" s="11"/>
      <c r="I279" s="11"/>
    </row>
    <row r="280" spans="4:9" ht="14.25" customHeight="1" x14ac:dyDescent="0.2">
      <c r="D280" s="34"/>
      <c r="F280" s="11"/>
      <c r="G280" s="11"/>
      <c r="H280" s="11"/>
      <c r="I280" s="11"/>
    </row>
    <row r="281" spans="4:9" ht="14.25" customHeight="1" x14ac:dyDescent="0.2">
      <c r="D281" s="34"/>
      <c r="F281" s="11"/>
      <c r="G281" s="11"/>
      <c r="H281" s="11"/>
      <c r="I281" s="11"/>
    </row>
    <row r="282" spans="4:9" ht="14.25" customHeight="1" x14ac:dyDescent="0.2">
      <c r="D282" s="34"/>
      <c r="F282" s="11"/>
      <c r="G282" s="11"/>
      <c r="H282" s="11"/>
      <c r="I282" s="11"/>
    </row>
    <row r="283" spans="4:9" ht="14.25" customHeight="1" x14ac:dyDescent="0.2">
      <c r="D283" s="34"/>
      <c r="F283" s="11"/>
      <c r="G283" s="11"/>
      <c r="H283" s="11"/>
      <c r="I283" s="11"/>
    </row>
    <row r="284" spans="4:9" ht="14.25" customHeight="1" x14ac:dyDescent="0.2">
      <c r="D284" s="34"/>
      <c r="F284" s="11"/>
      <c r="G284" s="11"/>
      <c r="H284" s="11"/>
      <c r="I284" s="11"/>
    </row>
    <row r="285" spans="4:9" ht="14.25" customHeight="1" x14ac:dyDescent="0.2">
      <c r="D285" s="34"/>
      <c r="F285" s="11"/>
      <c r="G285" s="11"/>
      <c r="H285" s="11"/>
      <c r="I285" s="11"/>
    </row>
    <row r="286" spans="4:9" ht="14.25" customHeight="1" x14ac:dyDescent="0.2">
      <c r="D286" s="34"/>
      <c r="F286" s="11"/>
      <c r="G286" s="11"/>
      <c r="H286" s="11"/>
      <c r="I286" s="11"/>
    </row>
    <row r="287" spans="4:9" ht="14.25" customHeight="1" x14ac:dyDescent="0.2">
      <c r="D287" s="34"/>
      <c r="F287" s="11"/>
      <c r="G287" s="11"/>
      <c r="H287" s="11"/>
      <c r="I287" s="11"/>
    </row>
    <row r="288" spans="4:9" ht="14.25" customHeight="1" x14ac:dyDescent="0.2">
      <c r="D288" s="34"/>
      <c r="F288" s="11"/>
      <c r="G288" s="11"/>
      <c r="H288" s="11"/>
      <c r="I288" s="11"/>
    </row>
    <row r="289" spans="4:9" ht="14.25" customHeight="1" x14ac:dyDescent="0.2">
      <c r="D289" s="34"/>
      <c r="F289" s="11"/>
      <c r="G289" s="11"/>
      <c r="H289" s="11"/>
      <c r="I289" s="11"/>
    </row>
    <row r="290" spans="4:9" ht="14.25" customHeight="1" x14ac:dyDescent="0.2">
      <c r="D290" s="34"/>
      <c r="F290" s="11"/>
      <c r="G290" s="11"/>
      <c r="H290" s="11"/>
      <c r="I290" s="11"/>
    </row>
    <row r="291" spans="4:9" ht="14.25" customHeight="1" x14ac:dyDescent="0.2">
      <c r="D291" s="34"/>
      <c r="F291" s="11"/>
      <c r="G291" s="11"/>
      <c r="H291" s="11"/>
      <c r="I291" s="11"/>
    </row>
    <row r="292" spans="4:9" ht="14.25" customHeight="1" x14ac:dyDescent="0.2">
      <c r="D292" s="34"/>
      <c r="F292" s="11"/>
      <c r="G292" s="11"/>
      <c r="H292" s="11"/>
      <c r="I292" s="11"/>
    </row>
    <row r="293" spans="4:9" ht="14.25" customHeight="1" x14ac:dyDescent="0.2">
      <c r="D293" s="34"/>
      <c r="F293" s="11"/>
      <c r="G293" s="11"/>
      <c r="H293" s="11"/>
      <c r="I293" s="11"/>
    </row>
    <row r="294" spans="4:9" ht="14.25" customHeight="1" x14ac:dyDescent="0.2">
      <c r="D294" s="34"/>
      <c r="F294" s="11"/>
      <c r="G294" s="11"/>
      <c r="H294" s="11"/>
      <c r="I294" s="11"/>
    </row>
    <row r="295" spans="4:9" ht="14.25" customHeight="1" x14ac:dyDescent="0.2">
      <c r="D295" s="34"/>
      <c r="F295" s="11"/>
      <c r="G295" s="11"/>
      <c r="H295" s="11"/>
      <c r="I295" s="11"/>
    </row>
    <row r="296" spans="4:9" ht="14.25" customHeight="1" x14ac:dyDescent="0.2">
      <c r="D296" s="34"/>
      <c r="F296" s="11"/>
      <c r="G296" s="11"/>
      <c r="H296" s="11"/>
      <c r="I296" s="11"/>
    </row>
    <row r="297" spans="4:9" ht="14.25" customHeight="1" x14ac:dyDescent="0.2">
      <c r="D297" s="34"/>
      <c r="F297" s="11"/>
      <c r="G297" s="11"/>
      <c r="H297" s="11"/>
      <c r="I297" s="11"/>
    </row>
    <row r="298" spans="4:9" ht="14.25" customHeight="1" x14ac:dyDescent="0.2">
      <c r="D298" s="34"/>
      <c r="F298" s="11"/>
      <c r="G298" s="11"/>
      <c r="H298" s="11"/>
      <c r="I298" s="11"/>
    </row>
    <row r="299" spans="4:9" ht="14.25" customHeight="1" x14ac:dyDescent="0.2">
      <c r="D299" s="34"/>
      <c r="F299" s="11"/>
      <c r="G299" s="11"/>
      <c r="H299" s="11"/>
      <c r="I299" s="11"/>
    </row>
    <row r="300" spans="4:9" ht="14.25" customHeight="1" x14ac:dyDescent="0.2">
      <c r="D300" s="34"/>
      <c r="F300" s="11"/>
      <c r="G300" s="11"/>
      <c r="H300" s="11"/>
      <c r="I300" s="11"/>
    </row>
    <row r="301" spans="4:9" ht="14.25" customHeight="1" x14ac:dyDescent="0.2">
      <c r="D301" s="34"/>
      <c r="F301" s="11"/>
      <c r="G301" s="11"/>
      <c r="H301" s="11"/>
      <c r="I301" s="11"/>
    </row>
    <row r="302" spans="4:9" ht="14.25" customHeight="1" x14ac:dyDescent="0.2">
      <c r="D302" s="34"/>
      <c r="F302" s="11"/>
      <c r="G302" s="11"/>
      <c r="H302" s="11"/>
      <c r="I302" s="11"/>
    </row>
    <row r="303" spans="4:9" ht="14.25" customHeight="1" x14ac:dyDescent="0.2">
      <c r="D303" s="34"/>
      <c r="F303" s="11"/>
      <c r="G303" s="11"/>
      <c r="H303" s="11"/>
      <c r="I303" s="11"/>
    </row>
    <row r="304" spans="4:9" ht="14.25" customHeight="1" x14ac:dyDescent="0.2">
      <c r="D304" s="34"/>
      <c r="F304" s="11"/>
      <c r="G304" s="11"/>
      <c r="H304" s="11"/>
      <c r="I304" s="11"/>
    </row>
    <row r="305" spans="4:9" ht="14.25" customHeight="1" x14ac:dyDescent="0.2">
      <c r="D305" s="34"/>
      <c r="F305" s="11"/>
      <c r="G305" s="11"/>
      <c r="H305" s="11"/>
      <c r="I305" s="11"/>
    </row>
    <row r="306" spans="4:9" ht="14.25" customHeight="1" x14ac:dyDescent="0.2">
      <c r="D306" s="34"/>
      <c r="F306" s="11"/>
      <c r="G306" s="11"/>
      <c r="H306" s="11"/>
      <c r="I306" s="11"/>
    </row>
    <row r="307" spans="4:9" ht="14.25" customHeight="1" x14ac:dyDescent="0.2">
      <c r="D307" s="34"/>
      <c r="F307" s="11"/>
      <c r="G307" s="11"/>
      <c r="H307" s="11"/>
      <c r="I307" s="11"/>
    </row>
    <row r="308" spans="4:9" ht="14.25" customHeight="1" x14ac:dyDescent="0.2">
      <c r="D308" s="34"/>
      <c r="F308" s="11"/>
      <c r="G308" s="11"/>
      <c r="H308" s="11"/>
      <c r="I308" s="11"/>
    </row>
    <row r="309" spans="4:9" ht="14.25" customHeight="1" x14ac:dyDescent="0.2">
      <c r="D309" s="34"/>
      <c r="F309" s="11"/>
      <c r="G309" s="11"/>
      <c r="H309" s="11"/>
      <c r="I309" s="11"/>
    </row>
    <row r="310" spans="4:9" ht="14.25" customHeight="1" x14ac:dyDescent="0.2">
      <c r="D310" s="34"/>
      <c r="F310" s="11"/>
      <c r="G310" s="11"/>
      <c r="H310" s="11"/>
      <c r="I310" s="11"/>
    </row>
    <row r="311" spans="4:9" ht="14.25" customHeight="1" x14ac:dyDescent="0.2">
      <c r="D311" s="34"/>
      <c r="F311" s="11"/>
      <c r="G311" s="11"/>
      <c r="H311" s="11"/>
      <c r="I311" s="11"/>
    </row>
    <row r="312" spans="4:9" ht="14.25" customHeight="1" x14ac:dyDescent="0.2">
      <c r="D312" s="34"/>
      <c r="F312" s="11"/>
      <c r="G312" s="11"/>
      <c r="H312" s="11"/>
      <c r="I312" s="11"/>
    </row>
    <row r="313" spans="4:9" ht="14.25" customHeight="1" x14ac:dyDescent="0.2">
      <c r="D313" s="34"/>
      <c r="F313" s="11"/>
      <c r="G313" s="11"/>
      <c r="H313" s="11"/>
      <c r="I313" s="11"/>
    </row>
    <row r="314" spans="4:9" ht="14.25" customHeight="1" x14ac:dyDescent="0.2">
      <c r="D314" s="34"/>
      <c r="F314" s="11"/>
      <c r="G314" s="11"/>
      <c r="H314" s="11"/>
      <c r="I314" s="11"/>
    </row>
    <row r="315" spans="4:9" ht="14.25" customHeight="1" x14ac:dyDescent="0.2">
      <c r="D315" s="34"/>
      <c r="F315" s="11"/>
      <c r="G315" s="11"/>
      <c r="H315" s="11"/>
      <c r="I315" s="11"/>
    </row>
    <row r="316" spans="4:9" ht="14.25" customHeight="1" x14ac:dyDescent="0.2">
      <c r="D316" s="34"/>
      <c r="F316" s="11"/>
      <c r="G316" s="11"/>
      <c r="H316" s="11"/>
      <c r="I316" s="11"/>
    </row>
    <row r="317" spans="4:9" ht="14.25" customHeight="1" x14ac:dyDescent="0.2">
      <c r="D317" s="34"/>
      <c r="F317" s="11"/>
      <c r="G317" s="11"/>
      <c r="H317" s="11"/>
      <c r="I317" s="11"/>
    </row>
    <row r="318" spans="4:9" ht="14.25" customHeight="1" x14ac:dyDescent="0.2">
      <c r="D318" s="34"/>
      <c r="F318" s="11"/>
      <c r="G318" s="11"/>
      <c r="H318" s="11"/>
      <c r="I318" s="11"/>
    </row>
    <row r="319" spans="4:9" ht="14.25" customHeight="1" x14ac:dyDescent="0.2">
      <c r="D319" s="34"/>
      <c r="F319" s="11"/>
      <c r="G319" s="11"/>
      <c r="H319" s="11"/>
      <c r="I319" s="11"/>
    </row>
    <row r="320" spans="4:9" ht="14.25" customHeight="1" x14ac:dyDescent="0.2">
      <c r="D320" s="34"/>
      <c r="F320" s="11"/>
      <c r="G320" s="11"/>
      <c r="H320" s="11"/>
      <c r="I320" s="11"/>
    </row>
    <row r="321" spans="4:9" ht="14.25" customHeight="1" x14ac:dyDescent="0.2">
      <c r="D321" s="34"/>
      <c r="F321" s="11"/>
      <c r="G321" s="11"/>
      <c r="H321" s="11"/>
      <c r="I321" s="11"/>
    </row>
    <row r="322" spans="4:9" ht="14.25" customHeight="1" x14ac:dyDescent="0.2">
      <c r="D322" s="34"/>
      <c r="F322" s="11"/>
      <c r="G322" s="11"/>
      <c r="H322" s="11"/>
      <c r="I322" s="11"/>
    </row>
    <row r="323" spans="4:9" ht="14.25" customHeight="1" x14ac:dyDescent="0.2">
      <c r="D323" s="34"/>
      <c r="F323" s="11"/>
      <c r="G323" s="11"/>
      <c r="H323" s="11"/>
      <c r="I323" s="11"/>
    </row>
    <row r="324" spans="4:9" ht="14.25" customHeight="1" x14ac:dyDescent="0.2">
      <c r="D324" s="34"/>
      <c r="F324" s="11"/>
      <c r="G324" s="11"/>
      <c r="H324" s="11"/>
      <c r="I324" s="11"/>
    </row>
    <row r="325" spans="4:9" ht="14.25" customHeight="1" x14ac:dyDescent="0.2">
      <c r="D325" s="34"/>
      <c r="F325" s="11"/>
      <c r="G325" s="11"/>
      <c r="H325" s="11"/>
      <c r="I325" s="11"/>
    </row>
    <row r="326" spans="4:9" ht="14.25" customHeight="1" x14ac:dyDescent="0.2">
      <c r="D326" s="34"/>
      <c r="F326" s="11"/>
      <c r="G326" s="11"/>
      <c r="H326" s="11"/>
      <c r="I326" s="11"/>
    </row>
    <row r="327" spans="4:9" ht="14.25" customHeight="1" x14ac:dyDescent="0.2">
      <c r="D327" s="34"/>
      <c r="F327" s="11"/>
      <c r="G327" s="11"/>
      <c r="H327" s="11"/>
      <c r="I327" s="11"/>
    </row>
    <row r="328" spans="4:9" ht="14.25" customHeight="1" x14ac:dyDescent="0.2">
      <c r="D328" s="34"/>
      <c r="F328" s="11"/>
      <c r="G328" s="11"/>
      <c r="H328" s="11"/>
      <c r="I328" s="11"/>
    </row>
    <row r="329" spans="4:9" ht="14.25" customHeight="1" x14ac:dyDescent="0.2">
      <c r="D329" s="34"/>
      <c r="F329" s="11"/>
      <c r="G329" s="11"/>
      <c r="H329" s="11"/>
      <c r="I329" s="11"/>
    </row>
    <row r="330" spans="4:9" ht="14.25" customHeight="1" x14ac:dyDescent="0.2">
      <c r="D330" s="34"/>
      <c r="F330" s="11"/>
      <c r="G330" s="11"/>
      <c r="H330" s="11"/>
      <c r="I330" s="11"/>
    </row>
    <row r="331" spans="4:9" ht="14.25" customHeight="1" x14ac:dyDescent="0.2">
      <c r="D331" s="34"/>
      <c r="F331" s="11"/>
      <c r="G331" s="11"/>
      <c r="H331" s="11"/>
      <c r="I331" s="11"/>
    </row>
    <row r="332" spans="4:9" ht="14.25" customHeight="1" x14ac:dyDescent="0.2">
      <c r="D332" s="34"/>
      <c r="F332" s="11"/>
      <c r="G332" s="11"/>
      <c r="H332" s="11"/>
      <c r="I332" s="11"/>
    </row>
    <row r="333" spans="4:9" ht="14.25" customHeight="1" x14ac:dyDescent="0.2">
      <c r="D333" s="34"/>
      <c r="F333" s="11"/>
      <c r="G333" s="11"/>
      <c r="H333" s="11"/>
      <c r="I333" s="11"/>
    </row>
    <row r="334" spans="4:9" ht="14.25" customHeight="1" x14ac:dyDescent="0.2">
      <c r="D334" s="34"/>
      <c r="F334" s="11"/>
      <c r="G334" s="11"/>
      <c r="H334" s="11"/>
      <c r="I334" s="11"/>
    </row>
    <row r="335" spans="4:9" ht="14.25" customHeight="1" x14ac:dyDescent="0.2">
      <c r="D335" s="34"/>
      <c r="F335" s="11"/>
      <c r="G335" s="11"/>
      <c r="H335" s="11"/>
      <c r="I335" s="11"/>
    </row>
    <row r="336" spans="4:9" ht="14.25" customHeight="1" x14ac:dyDescent="0.2">
      <c r="D336" s="34"/>
      <c r="F336" s="11"/>
      <c r="G336" s="11"/>
      <c r="H336" s="11"/>
      <c r="I336" s="11"/>
    </row>
    <row r="337" spans="4:9" ht="14.25" customHeight="1" x14ac:dyDescent="0.2">
      <c r="D337" s="34"/>
      <c r="F337" s="11"/>
      <c r="G337" s="11"/>
      <c r="H337" s="11"/>
      <c r="I337" s="11"/>
    </row>
    <row r="338" spans="4:9" ht="14.25" customHeight="1" x14ac:dyDescent="0.2">
      <c r="D338" s="34"/>
      <c r="F338" s="11"/>
      <c r="G338" s="11"/>
      <c r="H338" s="11"/>
      <c r="I338" s="11"/>
    </row>
    <row r="339" spans="4:9" ht="14.25" customHeight="1" x14ac:dyDescent="0.2">
      <c r="D339" s="34"/>
      <c r="F339" s="11"/>
      <c r="G339" s="11"/>
      <c r="H339" s="11"/>
      <c r="I339" s="11"/>
    </row>
    <row r="340" spans="4:9" ht="14.25" customHeight="1" x14ac:dyDescent="0.2">
      <c r="D340" s="34"/>
      <c r="F340" s="11"/>
      <c r="G340" s="11"/>
      <c r="H340" s="11"/>
      <c r="I340" s="11"/>
    </row>
    <row r="341" spans="4:9" ht="14.25" customHeight="1" x14ac:dyDescent="0.2">
      <c r="D341" s="34"/>
      <c r="F341" s="11"/>
      <c r="G341" s="11"/>
      <c r="H341" s="11"/>
      <c r="I341" s="11"/>
    </row>
    <row r="342" spans="4:9" ht="14.25" customHeight="1" x14ac:dyDescent="0.2">
      <c r="D342" s="34"/>
      <c r="F342" s="11"/>
      <c r="G342" s="11"/>
      <c r="H342" s="11"/>
      <c r="I342" s="11"/>
    </row>
    <row r="343" spans="4:9" ht="14.25" customHeight="1" x14ac:dyDescent="0.2">
      <c r="D343" s="34"/>
      <c r="F343" s="11"/>
      <c r="G343" s="11"/>
      <c r="H343" s="11"/>
      <c r="I343" s="11"/>
    </row>
    <row r="344" spans="4:9" ht="14.25" customHeight="1" x14ac:dyDescent="0.2">
      <c r="D344" s="34"/>
      <c r="F344" s="11"/>
      <c r="G344" s="11"/>
      <c r="H344" s="11"/>
      <c r="I344" s="11"/>
    </row>
    <row r="345" spans="4:9" ht="14.25" customHeight="1" x14ac:dyDescent="0.2">
      <c r="D345" s="34"/>
      <c r="F345" s="11"/>
      <c r="G345" s="11"/>
      <c r="H345" s="11"/>
      <c r="I345" s="11"/>
    </row>
    <row r="346" spans="4:9" ht="14.25" customHeight="1" x14ac:dyDescent="0.2">
      <c r="D346" s="34"/>
      <c r="F346" s="11"/>
      <c r="G346" s="11"/>
      <c r="H346" s="11"/>
      <c r="I346" s="11"/>
    </row>
    <row r="347" spans="4:9" ht="14.25" customHeight="1" x14ac:dyDescent="0.2">
      <c r="D347" s="34"/>
      <c r="F347" s="11"/>
      <c r="G347" s="11"/>
      <c r="H347" s="11"/>
      <c r="I347" s="11"/>
    </row>
    <row r="348" spans="4:9" ht="14.25" customHeight="1" x14ac:dyDescent="0.2">
      <c r="D348" s="34"/>
      <c r="F348" s="11"/>
      <c r="G348" s="11"/>
      <c r="H348" s="11"/>
      <c r="I348" s="11"/>
    </row>
    <row r="349" spans="4:9" ht="14.25" customHeight="1" x14ac:dyDescent="0.2">
      <c r="D349" s="34"/>
      <c r="F349" s="11"/>
      <c r="G349" s="11"/>
      <c r="H349" s="11"/>
      <c r="I349" s="11"/>
    </row>
    <row r="350" spans="4:9" ht="14.25" customHeight="1" x14ac:dyDescent="0.2">
      <c r="D350" s="34"/>
      <c r="F350" s="11"/>
      <c r="G350" s="11"/>
      <c r="H350" s="11"/>
      <c r="I350" s="11"/>
    </row>
    <row r="351" spans="4:9" ht="14.25" customHeight="1" x14ac:dyDescent="0.2">
      <c r="D351" s="34"/>
      <c r="F351" s="11"/>
      <c r="G351" s="11"/>
      <c r="H351" s="11"/>
      <c r="I351" s="11"/>
    </row>
    <row r="352" spans="4:9" ht="14.25" customHeight="1" x14ac:dyDescent="0.2">
      <c r="D352" s="34"/>
      <c r="F352" s="11"/>
      <c r="G352" s="11"/>
      <c r="H352" s="11"/>
      <c r="I352" s="11"/>
    </row>
    <row r="353" spans="4:9" ht="14.25" customHeight="1" x14ac:dyDescent="0.2">
      <c r="D353" s="34"/>
      <c r="F353" s="11"/>
      <c r="G353" s="11"/>
      <c r="H353" s="11"/>
      <c r="I353" s="11"/>
    </row>
    <row r="354" spans="4:9" ht="14.25" customHeight="1" x14ac:dyDescent="0.2">
      <c r="D354" s="34"/>
      <c r="F354" s="11"/>
      <c r="G354" s="11"/>
      <c r="H354" s="11"/>
      <c r="I354" s="11"/>
    </row>
    <row r="355" spans="4:9" ht="14.25" customHeight="1" x14ac:dyDescent="0.2">
      <c r="D355" s="34"/>
      <c r="F355" s="11"/>
      <c r="G355" s="11"/>
      <c r="H355" s="11"/>
      <c r="I355" s="11"/>
    </row>
    <row r="356" spans="4:9" ht="14.25" customHeight="1" x14ac:dyDescent="0.2">
      <c r="D356" s="34"/>
      <c r="F356" s="11"/>
      <c r="G356" s="11"/>
      <c r="H356" s="11"/>
      <c r="I356" s="11"/>
    </row>
    <row r="357" spans="4:9" ht="14.25" customHeight="1" x14ac:dyDescent="0.2">
      <c r="D357" s="34"/>
      <c r="F357" s="11"/>
      <c r="G357" s="11"/>
      <c r="H357" s="11"/>
      <c r="I357" s="11"/>
    </row>
    <row r="358" spans="4:9" ht="14.25" customHeight="1" x14ac:dyDescent="0.2">
      <c r="D358" s="34"/>
      <c r="F358" s="11"/>
      <c r="G358" s="11"/>
      <c r="H358" s="11"/>
      <c r="I358" s="11"/>
    </row>
    <row r="359" spans="4:9" ht="14.25" customHeight="1" x14ac:dyDescent="0.2">
      <c r="D359" s="34"/>
      <c r="F359" s="11"/>
      <c r="G359" s="11"/>
      <c r="H359" s="11"/>
      <c r="I359" s="11"/>
    </row>
    <row r="360" spans="4:9" ht="14.25" customHeight="1" x14ac:dyDescent="0.2">
      <c r="D360" s="34"/>
      <c r="F360" s="11"/>
      <c r="G360" s="11"/>
      <c r="H360" s="11"/>
      <c r="I360" s="11"/>
    </row>
    <row r="361" spans="4:9" ht="14.25" customHeight="1" x14ac:dyDescent="0.2">
      <c r="D361" s="34"/>
      <c r="F361" s="11"/>
      <c r="G361" s="11"/>
      <c r="H361" s="11"/>
      <c r="I361" s="11"/>
    </row>
    <row r="362" spans="4:9" ht="14.25" customHeight="1" x14ac:dyDescent="0.2">
      <c r="D362" s="34"/>
      <c r="F362" s="11"/>
      <c r="G362" s="11"/>
      <c r="H362" s="11"/>
      <c r="I362" s="11"/>
    </row>
    <row r="363" spans="4:9" ht="14.25" customHeight="1" x14ac:dyDescent="0.2">
      <c r="D363" s="34"/>
      <c r="F363" s="11"/>
      <c r="G363" s="11"/>
      <c r="H363" s="11"/>
      <c r="I363" s="11"/>
    </row>
    <row r="364" spans="4:9" ht="14.25" customHeight="1" x14ac:dyDescent="0.2">
      <c r="D364" s="34"/>
      <c r="F364" s="11"/>
      <c r="G364" s="11"/>
      <c r="H364" s="11"/>
      <c r="I364" s="11"/>
    </row>
    <row r="365" spans="4:9" ht="14.25" customHeight="1" x14ac:dyDescent="0.2">
      <c r="D365" s="34"/>
      <c r="F365" s="11"/>
      <c r="G365" s="11"/>
      <c r="H365" s="11"/>
      <c r="I365" s="11"/>
    </row>
    <row r="366" spans="4:9" ht="14.25" customHeight="1" x14ac:dyDescent="0.2">
      <c r="D366" s="34"/>
      <c r="F366" s="11"/>
      <c r="G366" s="11"/>
      <c r="H366" s="11"/>
      <c r="I366" s="11"/>
    </row>
    <row r="367" spans="4:9" ht="14.25" customHeight="1" x14ac:dyDescent="0.2">
      <c r="D367" s="34"/>
      <c r="F367" s="11"/>
      <c r="G367" s="11"/>
      <c r="H367" s="11"/>
      <c r="I367" s="11"/>
    </row>
    <row r="368" spans="4:9" ht="14.25" customHeight="1" x14ac:dyDescent="0.2">
      <c r="D368" s="34"/>
      <c r="F368" s="11"/>
      <c r="G368" s="11"/>
      <c r="H368" s="11"/>
      <c r="I368" s="11"/>
    </row>
    <row r="369" spans="4:9" ht="14.25" customHeight="1" x14ac:dyDescent="0.2">
      <c r="D369" s="34"/>
      <c r="F369" s="11"/>
      <c r="G369" s="11"/>
      <c r="H369" s="11"/>
      <c r="I369" s="11"/>
    </row>
    <row r="370" spans="4:9" ht="14.25" customHeight="1" x14ac:dyDescent="0.2">
      <c r="D370" s="34"/>
      <c r="F370" s="11"/>
      <c r="G370" s="11"/>
      <c r="H370" s="11"/>
      <c r="I370" s="11"/>
    </row>
    <row r="371" spans="4:9" ht="14.25" customHeight="1" x14ac:dyDescent="0.2">
      <c r="D371" s="34"/>
      <c r="F371" s="11"/>
      <c r="G371" s="11"/>
      <c r="H371" s="11"/>
      <c r="I371" s="11"/>
    </row>
    <row r="372" spans="4:9" ht="14.25" customHeight="1" x14ac:dyDescent="0.2">
      <c r="D372" s="34"/>
      <c r="F372" s="11"/>
      <c r="G372" s="11"/>
      <c r="H372" s="11"/>
      <c r="I372" s="11"/>
    </row>
    <row r="373" spans="4:9" ht="14.25" customHeight="1" x14ac:dyDescent="0.2">
      <c r="D373" s="34"/>
      <c r="F373" s="11"/>
      <c r="G373" s="11"/>
      <c r="H373" s="11"/>
      <c r="I373" s="11"/>
    </row>
    <row r="374" spans="4:9" ht="14.25" customHeight="1" x14ac:dyDescent="0.2">
      <c r="D374" s="34"/>
      <c r="F374" s="11"/>
      <c r="G374" s="11"/>
      <c r="H374" s="11"/>
      <c r="I374" s="11"/>
    </row>
    <row r="375" spans="4:9" ht="14.25" customHeight="1" x14ac:dyDescent="0.2">
      <c r="D375" s="34"/>
      <c r="F375" s="11"/>
      <c r="G375" s="11"/>
      <c r="H375" s="11"/>
      <c r="I375" s="11"/>
    </row>
    <row r="376" spans="4:9" ht="14.25" customHeight="1" x14ac:dyDescent="0.2">
      <c r="D376" s="34"/>
      <c r="F376" s="11"/>
      <c r="G376" s="11"/>
      <c r="H376" s="11"/>
      <c r="I376" s="11"/>
    </row>
    <row r="377" spans="4:9" ht="14.25" customHeight="1" x14ac:dyDescent="0.2">
      <c r="D377" s="34"/>
      <c r="F377" s="11"/>
      <c r="G377" s="11"/>
      <c r="H377" s="11"/>
      <c r="I377" s="11"/>
    </row>
    <row r="378" spans="4:9" ht="14.25" customHeight="1" x14ac:dyDescent="0.2">
      <c r="D378" s="34"/>
      <c r="F378" s="11"/>
      <c r="G378" s="11"/>
      <c r="H378" s="11"/>
      <c r="I378" s="11"/>
    </row>
    <row r="379" spans="4:9" ht="14.25" customHeight="1" x14ac:dyDescent="0.2">
      <c r="D379" s="34"/>
      <c r="F379" s="11"/>
      <c r="G379" s="11"/>
      <c r="H379" s="11"/>
      <c r="I379" s="11"/>
    </row>
    <row r="380" spans="4:9" ht="14.25" customHeight="1" x14ac:dyDescent="0.2">
      <c r="D380" s="34"/>
      <c r="F380" s="11"/>
      <c r="G380" s="11"/>
      <c r="H380" s="11"/>
      <c r="I380" s="11"/>
    </row>
    <row r="381" spans="4:9" ht="14.25" customHeight="1" x14ac:dyDescent="0.2">
      <c r="D381" s="34"/>
      <c r="F381" s="11"/>
      <c r="G381" s="11"/>
      <c r="H381" s="11"/>
      <c r="I381" s="11"/>
    </row>
    <row r="382" spans="4:9" ht="14.25" customHeight="1" x14ac:dyDescent="0.2">
      <c r="D382" s="34"/>
      <c r="F382" s="11"/>
      <c r="G382" s="11"/>
      <c r="H382" s="11"/>
      <c r="I382" s="11"/>
    </row>
    <row r="383" spans="4:9" ht="14.25" customHeight="1" x14ac:dyDescent="0.2">
      <c r="D383" s="34"/>
      <c r="F383" s="11"/>
      <c r="G383" s="11"/>
      <c r="H383" s="11"/>
      <c r="I383" s="11"/>
    </row>
    <row r="384" spans="4:9" ht="14.25" customHeight="1" x14ac:dyDescent="0.2">
      <c r="D384" s="34"/>
      <c r="F384" s="11"/>
      <c r="G384" s="11"/>
      <c r="H384" s="11"/>
      <c r="I384" s="11"/>
    </row>
    <row r="385" spans="4:9" ht="14.25" customHeight="1" x14ac:dyDescent="0.2">
      <c r="D385" s="34"/>
      <c r="F385" s="11"/>
      <c r="G385" s="11"/>
      <c r="H385" s="11"/>
      <c r="I385" s="11"/>
    </row>
    <row r="386" spans="4:9" ht="14.25" customHeight="1" x14ac:dyDescent="0.2">
      <c r="D386" s="34"/>
      <c r="F386" s="11"/>
      <c r="G386" s="11"/>
      <c r="H386" s="11"/>
      <c r="I386" s="11"/>
    </row>
    <row r="387" spans="4:9" ht="14.25" customHeight="1" x14ac:dyDescent="0.2">
      <c r="D387" s="34"/>
      <c r="F387" s="11"/>
      <c r="G387" s="11"/>
      <c r="H387" s="11"/>
      <c r="I387" s="11"/>
    </row>
    <row r="388" spans="4:9" ht="14.25" customHeight="1" x14ac:dyDescent="0.2">
      <c r="D388" s="34"/>
      <c r="F388" s="11"/>
      <c r="G388" s="11"/>
      <c r="H388" s="11"/>
      <c r="I388" s="11"/>
    </row>
    <row r="389" spans="4:9" ht="14.25" customHeight="1" x14ac:dyDescent="0.2">
      <c r="D389" s="34"/>
      <c r="F389" s="11"/>
      <c r="G389" s="11"/>
      <c r="H389" s="11"/>
      <c r="I389" s="11"/>
    </row>
    <row r="390" spans="4:9" ht="14.25" customHeight="1" x14ac:dyDescent="0.2">
      <c r="D390" s="34"/>
      <c r="F390" s="11"/>
      <c r="G390" s="11"/>
      <c r="H390" s="11"/>
      <c r="I390" s="11"/>
    </row>
    <row r="391" spans="4:9" ht="14.25" customHeight="1" x14ac:dyDescent="0.2">
      <c r="D391" s="34"/>
      <c r="F391" s="11"/>
      <c r="G391" s="11"/>
      <c r="H391" s="11"/>
      <c r="I391" s="11"/>
    </row>
    <row r="392" spans="4:9" ht="14.25" customHeight="1" x14ac:dyDescent="0.2">
      <c r="D392" s="34"/>
      <c r="F392" s="11"/>
      <c r="G392" s="11"/>
      <c r="H392" s="11"/>
      <c r="I392" s="11"/>
    </row>
    <row r="393" spans="4:9" ht="14.25" customHeight="1" x14ac:dyDescent="0.2">
      <c r="D393" s="34"/>
      <c r="F393" s="11"/>
      <c r="G393" s="11"/>
      <c r="H393" s="11"/>
      <c r="I393" s="11"/>
    </row>
    <row r="394" spans="4:9" ht="14.25" customHeight="1" x14ac:dyDescent="0.2">
      <c r="D394" s="34"/>
      <c r="F394" s="11"/>
      <c r="G394" s="11"/>
      <c r="H394" s="11"/>
      <c r="I394" s="11"/>
    </row>
    <row r="395" spans="4:9" ht="14.25" customHeight="1" x14ac:dyDescent="0.2">
      <c r="D395" s="34"/>
      <c r="F395" s="11"/>
      <c r="G395" s="11"/>
      <c r="H395" s="11"/>
      <c r="I395" s="11"/>
    </row>
    <row r="396" spans="4:9" ht="14.25" customHeight="1" x14ac:dyDescent="0.2">
      <c r="D396" s="34"/>
      <c r="F396" s="11"/>
      <c r="G396" s="11"/>
      <c r="H396" s="11"/>
      <c r="I396" s="11"/>
    </row>
    <row r="397" spans="4:9" ht="14.25" customHeight="1" x14ac:dyDescent="0.2">
      <c r="D397" s="34"/>
      <c r="F397" s="11"/>
      <c r="G397" s="11"/>
      <c r="H397" s="11"/>
      <c r="I397" s="11"/>
    </row>
    <row r="398" spans="4:9" ht="14.25" customHeight="1" x14ac:dyDescent="0.2">
      <c r="D398" s="34"/>
      <c r="F398" s="11"/>
      <c r="G398" s="11"/>
      <c r="H398" s="11"/>
      <c r="I398" s="11"/>
    </row>
    <row r="399" spans="4:9" ht="14.25" customHeight="1" x14ac:dyDescent="0.2">
      <c r="D399" s="34"/>
      <c r="F399" s="11"/>
      <c r="G399" s="11"/>
      <c r="H399" s="11"/>
      <c r="I399" s="11"/>
    </row>
    <row r="400" spans="4:9" ht="14.25" customHeight="1" x14ac:dyDescent="0.2">
      <c r="D400" s="34"/>
      <c r="F400" s="11"/>
      <c r="G400" s="11"/>
      <c r="H400" s="11"/>
      <c r="I400" s="11"/>
    </row>
    <row r="401" spans="4:9" ht="14.25" customHeight="1" x14ac:dyDescent="0.2">
      <c r="D401" s="34"/>
      <c r="F401" s="11"/>
      <c r="G401" s="11"/>
      <c r="H401" s="11"/>
      <c r="I401" s="11"/>
    </row>
    <row r="402" spans="4:9" ht="14.25" customHeight="1" x14ac:dyDescent="0.2">
      <c r="D402" s="34"/>
      <c r="F402" s="11"/>
      <c r="G402" s="11"/>
      <c r="H402" s="11"/>
      <c r="I402" s="11"/>
    </row>
    <row r="403" spans="4:9" ht="14.25" customHeight="1" x14ac:dyDescent="0.2">
      <c r="D403" s="34"/>
      <c r="F403" s="11"/>
      <c r="G403" s="11"/>
      <c r="H403" s="11"/>
      <c r="I403" s="11"/>
    </row>
    <row r="404" spans="4:9" ht="14.25" customHeight="1" x14ac:dyDescent="0.2">
      <c r="D404" s="34"/>
      <c r="F404" s="11"/>
      <c r="G404" s="11"/>
      <c r="H404" s="11"/>
      <c r="I404" s="11"/>
    </row>
    <row r="405" spans="4:9" ht="14.25" customHeight="1" x14ac:dyDescent="0.2">
      <c r="D405" s="34"/>
      <c r="F405" s="11"/>
      <c r="G405" s="11"/>
      <c r="H405" s="11"/>
      <c r="I405" s="11"/>
    </row>
    <row r="406" spans="4:9" ht="14.25" customHeight="1" x14ac:dyDescent="0.2">
      <c r="D406" s="34"/>
      <c r="F406" s="11"/>
      <c r="G406" s="11"/>
      <c r="H406" s="11"/>
      <c r="I406" s="11"/>
    </row>
    <row r="407" spans="4:9" ht="14.25" customHeight="1" x14ac:dyDescent="0.2">
      <c r="D407" s="34"/>
      <c r="F407" s="11"/>
      <c r="G407" s="11"/>
      <c r="H407" s="11"/>
      <c r="I407" s="11"/>
    </row>
    <row r="408" spans="4:9" ht="14.25" customHeight="1" x14ac:dyDescent="0.2">
      <c r="D408" s="34"/>
      <c r="F408" s="11"/>
      <c r="G408" s="11"/>
      <c r="H408" s="11"/>
      <c r="I408" s="11"/>
    </row>
    <row r="409" spans="4:9" ht="14.25" customHeight="1" x14ac:dyDescent="0.2">
      <c r="D409" s="34"/>
      <c r="F409" s="11"/>
      <c r="G409" s="11"/>
      <c r="H409" s="11"/>
      <c r="I409" s="11"/>
    </row>
    <row r="410" spans="4:9" ht="14.25" customHeight="1" x14ac:dyDescent="0.2">
      <c r="D410" s="34"/>
      <c r="F410" s="11"/>
      <c r="G410" s="11"/>
      <c r="H410" s="11"/>
      <c r="I410" s="11"/>
    </row>
    <row r="411" spans="4:9" ht="14.25" customHeight="1" x14ac:dyDescent="0.2">
      <c r="D411" s="34"/>
      <c r="F411" s="11"/>
      <c r="G411" s="11"/>
      <c r="H411" s="11"/>
      <c r="I411" s="11"/>
    </row>
    <row r="412" spans="4:9" ht="14.25" customHeight="1" x14ac:dyDescent="0.2">
      <c r="D412" s="34"/>
      <c r="F412" s="11"/>
      <c r="G412" s="11"/>
      <c r="H412" s="11"/>
      <c r="I412" s="11"/>
    </row>
    <row r="413" spans="4:9" ht="14.25" customHeight="1" x14ac:dyDescent="0.2">
      <c r="D413" s="34"/>
      <c r="F413" s="11"/>
      <c r="G413" s="11"/>
      <c r="H413" s="11"/>
      <c r="I413" s="11"/>
    </row>
    <row r="414" spans="4:9" ht="14.25" customHeight="1" x14ac:dyDescent="0.2">
      <c r="D414" s="34"/>
      <c r="F414" s="11"/>
      <c r="G414" s="11"/>
      <c r="H414" s="11"/>
      <c r="I414" s="11"/>
    </row>
    <row r="415" spans="4:9" ht="14.25" customHeight="1" x14ac:dyDescent="0.2">
      <c r="D415" s="34"/>
      <c r="F415" s="11"/>
      <c r="G415" s="11"/>
      <c r="H415" s="11"/>
      <c r="I415" s="11"/>
    </row>
    <row r="416" spans="4:9" ht="14.25" customHeight="1" x14ac:dyDescent="0.2">
      <c r="D416" s="34"/>
      <c r="F416" s="11"/>
      <c r="G416" s="11"/>
      <c r="H416" s="11"/>
      <c r="I416" s="11"/>
    </row>
    <row r="417" spans="4:9" ht="14.25" customHeight="1" x14ac:dyDescent="0.2">
      <c r="D417" s="34"/>
      <c r="F417" s="11"/>
      <c r="G417" s="11"/>
      <c r="H417" s="11"/>
      <c r="I417" s="11"/>
    </row>
    <row r="418" spans="4:9" ht="14.25" customHeight="1" x14ac:dyDescent="0.2">
      <c r="D418" s="34"/>
      <c r="F418" s="11"/>
      <c r="G418" s="11"/>
      <c r="H418" s="11"/>
      <c r="I418" s="11"/>
    </row>
    <row r="419" spans="4:9" ht="14.25" customHeight="1" x14ac:dyDescent="0.2">
      <c r="D419" s="34"/>
      <c r="F419" s="11"/>
      <c r="G419" s="11"/>
      <c r="H419" s="11"/>
      <c r="I419" s="11"/>
    </row>
    <row r="420" spans="4:9" ht="14.25" customHeight="1" x14ac:dyDescent="0.2">
      <c r="D420" s="34"/>
      <c r="F420" s="11"/>
      <c r="G420" s="11"/>
      <c r="H420" s="11"/>
      <c r="I420" s="11"/>
    </row>
    <row r="421" spans="4:9" ht="14.25" customHeight="1" x14ac:dyDescent="0.2">
      <c r="D421" s="34"/>
      <c r="F421" s="11"/>
      <c r="G421" s="11"/>
      <c r="H421" s="11"/>
      <c r="I421" s="11"/>
    </row>
    <row r="422" spans="4:9" ht="14.25" customHeight="1" x14ac:dyDescent="0.2">
      <c r="D422" s="34"/>
      <c r="F422" s="11"/>
      <c r="G422" s="11"/>
      <c r="H422" s="11"/>
      <c r="I422" s="11"/>
    </row>
    <row r="423" spans="4:9" ht="14.25" customHeight="1" x14ac:dyDescent="0.2">
      <c r="D423" s="34"/>
      <c r="F423" s="11"/>
      <c r="G423" s="11"/>
      <c r="H423" s="11"/>
      <c r="I423" s="11"/>
    </row>
    <row r="424" spans="4:9" ht="14.25" customHeight="1" x14ac:dyDescent="0.2">
      <c r="D424" s="34"/>
      <c r="F424" s="11"/>
      <c r="G424" s="11"/>
      <c r="H424" s="11"/>
      <c r="I424" s="11"/>
    </row>
    <row r="425" spans="4:9" ht="14.25" customHeight="1" x14ac:dyDescent="0.2">
      <c r="D425" s="34"/>
      <c r="F425" s="11"/>
      <c r="G425" s="11"/>
      <c r="H425" s="11"/>
      <c r="I425" s="11"/>
    </row>
    <row r="426" spans="4:9" ht="14.25" customHeight="1" x14ac:dyDescent="0.2">
      <c r="D426" s="34"/>
      <c r="F426" s="11"/>
      <c r="G426" s="11"/>
      <c r="H426" s="11"/>
      <c r="I426" s="11"/>
    </row>
    <row r="427" spans="4:9" ht="14.25" customHeight="1" x14ac:dyDescent="0.2">
      <c r="D427" s="34"/>
      <c r="F427" s="11"/>
      <c r="G427" s="11"/>
      <c r="H427" s="11"/>
      <c r="I427" s="11"/>
    </row>
    <row r="428" spans="4:9" ht="14.25" customHeight="1" x14ac:dyDescent="0.2">
      <c r="D428" s="34"/>
      <c r="F428" s="11"/>
      <c r="G428" s="11"/>
      <c r="H428" s="11"/>
      <c r="I428" s="11"/>
    </row>
    <row r="429" spans="4:9" ht="14.25" customHeight="1" x14ac:dyDescent="0.2">
      <c r="D429" s="34"/>
      <c r="F429" s="11"/>
      <c r="G429" s="11"/>
      <c r="H429" s="11"/>
      <c r="I429" s="11"/>
    </row>
    <row r="430" spans="4:9" ht="14.25" customHeight="1" x14ac:dyDescent="0.2">
      <c r="D430" s="34"/>
      <c r="F430" s="11"/>
      <c r="G430" s="11"/>
      <c r="H430" s="11"/>
      <c r="I430" s="11"/>
    </row>
    <row r="431" spans="4:9" ht="14.25" customHeight="1" x14ac:dyDescent="0.2">
      <c r="D431" s="34"/>
      <c r="F431" s="11"/>
      <c r="G431" s="11"/>
      <c r="H431" s="11"/>
      <c r="I431" s="11"/>
    </row>
    <row r="432" spans="4:9" ht="14.25" customHeight="1" x14ac:dyDescent="0.2">
      <c r="D432" s="34"/>
      <c r="F432" s="11"/>
      <c r="G432" s="11"/>
      <c r="H432" s="11"/>
      <c r="I432" s="11"/>
    </row>
    <row r="433" spans="4:9" ht="14.25" customHeight="1" x14ac:dyDescent="0.2">
      <c r="D433" s="34"/>
      <c r="F433" s="11"/>
      <c r="G433" s="11"/>
      <c r="H433" s="11"/>
      <c r="I433" s="11"/>
    </row>
    <row r="434" spans="4:9" ht="14.25" customHeight="1" x14ac:dyDescent="0.2">
      <c r="D434" s="34"/>
      <c r="F434" s="11"/>
      <c r="G434" s="11"/>
      <c r="H434" s="11"/>
      <c r="I434" s="11"/>
    </row>
    <row r="435" spans="4:9" ht="14.25" customHeight="1" x14ac:dyDescent="0.2">
      <c r="D435" s="34"/>
      <c r="F435" s="11"/>
      <c r="G435" s="11"/>
      <c r="H435" s="11"/>
      <c r="I435" s="11"/>
    </row>
    <row r="436" spans="4:9" ht="14.25" customHeight="1" x14ac:dyDescent="0.2">
      <c r="D436" s="34"/>
      <c r="F436" s="11"/>
      <c r="G436" s="11"/>
      <c r="H436" s="11"/>
      <c r="I436" s="11"/>
    </row>
    <row r="437" spans="4:9" ht="14.25" customHeight="1" x14ac:dyDescent="0.2">
      <c r="D437" s="34"/>
      <c r="F437" s="11"/>
      <c r="G437" s="11"/>
      <c r="H437" s="11"/>
      <c r="I437" s="11"/>
    </row>
    <row r="438" spans="4:9" ht="14.25" customHeight="1" x14ac:dyDescent="0.2">
      <c r="D438" s="34"/>
      <c r="F438" s="11"/>
      <c r="G438" s="11"/>
      <c r="H438" s="11"/>
      <c r="I438" s="11"/>
    </row>
    <row r="439" spans="4:9" ht="14.25" customHeight="1" x14ac:dyDescent="0.2">
      <c r="D439" s="34"/>
      <c r="F439" s="11"/>
      <c r="G439" s="11"/>
      <c r="H439" s="11"/>
      <c r="I439" s="11"/>
    </row>
    <row r="440" spans="4:9" ht="14.25" customHeight="1" x14ac:dyDescent="0.2">
      <c r="D440" s="34"/>
      <c r="F440" s="11"/>
      <c r="G440" s="11"/>
      <c r="H440" s="11"/>
      <c r="I440" s="11"/>
    </row>
    <row r="441" spans="4:9" ht="14.25" customHeight="1" x14ac:dyDescent="0.2">
      <c r="D441" s="34"/>
      <c r="F441" s="11"/>
      <c r="G441" s="11"/>
      <c r="H441" s="11"/>
      <c r="I441" s="11"/>
    </row>
    <row r="442" spans="4:9" ht="14.25" customHeight="1" x14ac:dyDescent="0.2">
      <c r="D442" s="34"/>
      <c r="F442" s="11"/>
      <c r="G442" s="11"/>
      <c r="H442" s="11"/>
      <c r="I442" s="11"/>
    </row>
    <row r="443" spans="4:9" ht="14.25" customHeight="1" x14ac:dyDescent="0.2">
      <c r="D443" s="34"/>
      <c r="F443" s="11"/>
      <c r="G443" s="11"/>
      <c r="H443" s="11"/>
      <c r="I443" s="11"/>
    </row>
    <row r="444" spans="4:9" ht="14.25" customHeight="1" x14ac:dyDescent="0.2">
      <c r="D444" s="34"/>
      <c r="F444" s="11"/>
      <c r="G444" s="11"/>
      <c r="H444" s="11"/>
      <c r="I444" s="11"/>
    </row>
    <row r="445" spans="4:9" ht="14.25" customHeight="1" x14ac:dyDescent="0.2">
      <c r="D445" s="34"/>
      <c r="F445" s="11"/>
      <c r="G445" s="11"/>
      <c r="H445" s="11"/>
      <c r="I445" s="11"/>
    </row>
    <row r="446" spans="4:9" ht="14.25" customHeight="1" x14ac:dyDescent="0.2">
      <c r="D446" s="34"/>
      <c r="F446" s="11"/>
      <c r="G446" s="11"/>
      <c r="H446" s="11"/>
      <c r="I446" s="11"/>
    </row>
    <row r="447" spans="4:9" ht="14.25" customHeight="1" x14ac:dyDescent="0.2">
      <c r="D447" s="34"/>
      <c r="F447" s="11"/>
      <c r="G447" s="11"/>
      <c r="H447" s="11"/>
      <c r="I447" s="11"/>
    </row>
    <row r="448" spans="4:9" ht="14.25" customHeight="1" x14ac:dyDescent="0.2">
      <c r="D448" s="34"/>
      <c r="F448" s="11"/>
      <c r="G448" s="11"/>
      <c r="H448" s="11"/>
      <c r="I448" s="11"/>
    </row>
    <row r="449" spans="4:9" ht="14.25" customHeight="1" x14ac:dyDescent="0.2">
      <c r="D449" s="34"/>
      <c r="F449" s="11"/>
      <c r="G449" s="11"/>
      <c r="H449" s="11"/>
      <c r="I449" s="11"/>
    </row>
    <row r="450" spans="4:9" ht="14.25" customHeight="1" x14ac:dyDescent="0.2">
      <c r="D450" s="34"/>
      <c r="F450" s="11"/>
      <c r="G450" s="11"/>
      <c r="H450" s="11"/>
      <c r="I450" s="11"/>
    </row>
    <row r="451" spans="4:9" ht="14.25" customHeight="1" x14ac:dyDescent="0.2">
      <c r="D451" s="34"/>
      <c r="F451" s="11"/>
      <c r="G451" s="11"/>
      <c r="H451" s="11"/>
      <c r="I451" s="11"/>
    </row>
    <row r="452" spans="4:9" ht="14.25" customHeight="1" x14ac:dyDescent="0.2">
      <c r="D452" s="34"/>
      <c r="F452" s="11"/>
      <c r="G452" s="11"/>
      <c r="H452" s="11"/>
      <c r="I452" s="11"/>
    </row>
    <row r="453" spans="4:9" ht="14.25" customHeight="1" x14ac:dyDescent="0.2">
      <c r="D453" s="34"/>
      <c r="F453" s="11"/>
      <c r="G453" s="11"/>
      <c r="H453" s="11"/>
      <c r="I453" s="11"/>
    </row>
    <row r="454" spans="4:9" ht="14.25" customHeight="1" x14ac:dyDescent="0.2">
      <c r="D454" s="34"/>
      <c r="F454" s="11"/>
      <c r="G454" s="11"/>
      <c r="H454" s="11"/>
      <c r="I454" s="11"/>
    </row>
    <row r="455" spans="4:9" ht="14.25" customHeight="1" x14ac:dyDescent="0.2">
      <c r="D455" s="34"/>
      <c r="F455" s="11"/>
      <c r="G455" s="11"/>
      <c r="H455" s="11"/>
      <c r="I455" s="11"/>
    </row>
    <row r="456" spans="4:9" ht="14.25" customHeight="1" x14ac:dyDescent="0.2">
      <c r="D456" s="34"/>
      <c r="F456" s="11"/>
      <c r="G456" s="11"/>
      <c r="H456" s="11"/>
      <c r="I456" s="11"/>
    </row>
    <row r="457" spans="4:9" ht="14.25" customHeight="1" x14ac:dyDescent="0.2">
      <c r="D457" s="34"/>
      <c r="F457" s="11"/>
      <c r="G457" s="11"/>
      <c r="H457" s="11"/>
      <c r="I457" s="11"/>
    </row>
    <row r="458" spans="4:9" ht="14.25" customHeight="1" x14ac:dyDescent="0.2">
      <c r="D458" s="34"/>
      <c r="F458" s="11"/>
      <c r="G458" s="11"/>
      <c r="H458" s="11"/>
      <c r="I458" s="11"/>
    </row>
    <row r="459" spans="4:9" ht="14.25" customHeight="1" x14ac:dyDescent="0.2">
      <c r="D459" s="34"/>
      <c r="F459" s="11"/>
      <c r="G459" s="11"/>
      <c r="H459" s="11"/>
      <c r="I459" s="11"/>
    </row>
    <row r="460" spans="4:9" ht="14.25" customHeight="1" x14ac:dyDescent="0.2">
      <c r="D460" s="34"/>
      <c r="F460" s="11"/>
      <c r="G460" s="11"/>
      <c r="H460" s="11"/>
      <c r="I460" s="11"/>
    </row>
    <row r="461" spans="4:9" ht="14.25" customHeight="1" x14ac:dyDescent="0.2">
      <c r="D461" s="34"/>
      <c r="F461" s="11"/>
      <c r="G461" s="11"/>
      <c r="H461" s="11"/>
      <c r="I461" s="11"/>
    </row>
    <row r="462" spans="4:9" ht="14.25" customHeight="1" x14ac:dyDescent="0.2">
      <c r="D462" s="34"/>
      <c r="F462" s="11"/>
      <c r="G462" s="11"/>
      <c r="H462" s="11"/>
      <c r="I462" s="11"/>
    </row>
    <row r="463" spans="4:9" ht="14.25" customHeight="1" x14ac:dyDescent="0.2">
      <c r="D463" s="34"/>
      <c r="F463" s="11"/>
      <c r="G463" s="11"/>
      <c r="H463" s="11"/>
      <c r="I463" s="11"/>
    </row>
    <row r="464" spans="4:9" ht="14.25" customHeight="1" x14ac:dyDescent="0.2">
      <c r="D464" s="34"/>
      <c r="F464" s="11"/>
      <c r="G464" s="11"/>
      <c r="H464" s="11"/>
      <c r="I464" s="11"/>
    </row>
    <row r="465" spans="4:9" ht="14.25" customHeight="1" x14ac:dyDescent="0.2">
      <c r="D465" s="34"/>
      <c r="F465" s="11"/>
      <c r="G465" s="11"/>
      <c r="H465" s="11"/>
      <c r="I465" s="11"/>
    </row>
    <row r="466" spans="4:9" ht="14.25" customHeight="1" x14ac:dyDescent="0.2">
      <c r="D466" s="34"/>
      <c r="F466" s="11"/>
      <c r="G466" s="11"/>
      <c r="H466" s="11"/>
      <c r="I466" s="11"/>
    </row>
    <row r="467" spans="4:9" ht="14.25" customHeight="1" x14ac:dyDescent="0.2">
      <c r="D467" s="34"/>
      <c r="F467" s="11"/>
      <c r="G467" s="11"/>
      <c r="H467" s="11"/>
      <c r="I467" s="11"/>
    </row>
    <row r="468" spans="4:9" ht="14.25" customHeight="1" x14ac:dyDescent="0.2">
      <c r="D468" s="34"/>
      <c r="F468" s="11"/>
      <c r="G468" s="11"/>
      <c r="H468" s="11"/>
      <c r="I468" s="11"/>
    </row>
    <row r="469" spans="4:9" ht="14.25" customHeight="1" x14ac:dyDescent="0.2">
      <c r="D469" s="34"/>
      <c r="F469" s="11"/>
      <c r="G469" s="11"/>
      <c r="H469" s="11"/>
      <c r="I469" s="11"/>
    </row>
    <row r="470" spans="4:9" ht="14.25" customHeight="1" x14ac:dyDescent="0.2">
      <c r="D470" s="34"/>
      <c r="F470" s="11"/>
      <c r="G470" s="11"/>
      <c r="H470" s="11"/>
      <c r="I470" s="11"/>
    </row>
    <row r="471" spans="4:9" ht="14.25" customHeight="1" x14ac:dyDescent="0.2">
      <c r="D471" s="34"/>
      <c r="F471" s="11"/>
      <c r="G471" s="11"/>
      <c r="H471" s="11"/>
      <c r="I471" s="11"/>
    </row>
    <row r="472" spans="4:9" ht="14.25" customHeight="1" x14ac:dyDescent="0.2">
      <c r="D472" s="34"/>
      <c r="F472" s="11"/>
      <c r="G472" s="11"/>
      <c r="H472" s="11"/>
      <c r="I472" s="11"/>
    </row>
    <row r="473" spans="4:9" ht="14.25" customHeight="1" x14ac:dyDescent="0.2">
      <c r="D473" s="34"/>
      <c r="F473" s="11"/>
      <c r="G473" s="11"/>
      <c r="H473" s="11"/>
      <c r="I473" s="11"/>
    </row>
    <row r="474" spans="4:9" ht="14.25" customHeight="1" x14ac:dyDescent="0.2">
      <c r="D474" s="34"/>
      <c r="F474" s="11"/>
      <c r="G474" s="11"/>
      <c r="H474" s="11"/>
      <c r="I474" s="11"/>
    </row>
    <row r="475" spans="4:9" ht="14.25" customHeight="1" x14ac:dyDescent="0.2">
      <c r="D475" s="34"/>
      <c r="F475" s="11"/>
      <c r="G475" s="11"/>
      <c r="H475" s="11"/>
      <c r="I475" s="11"/>
    </row>
    <row r="476" spans="4:9" ht="14.25" customHeight="1" x14ac:dyDescent="0.2">
      <c r="D476" s="34"/>
      <c r="F476" s="11"/>
      <c r="G476" s="11"/>
      <c r="H476" s="11"/>
      <c r="I476" s="11"/>
    </row>
    <row r="477" spans="4:9" ht="14.25" customHeight="1" x14ac:dyDescent="0.2">
      <c r="D477" s="34"/>
      <c r="F477" s="11"/>
      <c r="G477" s="11"/>
      <c r="H477" s="11"/>
      <c r="I477" s="11"/>
    </row>
    <row r="478" spans="4:9" ht="14.25" customHeight="1" x14ac:dyDescent="0.2">
      <c r="D478" s="34"/>
      <c r="F478" s="11"/>
      <c r="G478" s="11"/>
      <c r="H478" s="11"/>
      <c r="I478" s="11"/>
    </row>
    <row r="479" spans="4:9" ht="14.25" customHeight="1" x14ac:dyDescent="0.2">
      <c r="D479" s="34"/>
      <c r="F479" s="11"/>
      <c r="G479" s="11"/>
      <c r="H479" s="11"/>
      <c r="I479" s="11"/>
    </row>
    <row r="480" spans="4:9" ht="14.25" customHeight="1" x14ac:dyDescent="0.2">
      <c r="D480" s="34"/>
      <c r="F480" s="11"/>
      <c r="G480" s="11"/>
      <c r="H480" s="11"/>
      <c r="I480" s="11"/>
    </row>
    <row r="481" spans="4:9" ht="14.25" customHeight="1" x14ac:dyDescent="0.2">
      <c r="D481" s="34"/>
      <c r="F481" s="11"/>
      <c r="G481" s="11"/>
      <c r="H481" s="11"/>
      <c r="I481" s="11"/>
    </row>
    <row r="482" spans="4:9" ht="14.25" customHeight="1" x14ac:dyDescent="0.2">
      <c r="D482" s="34"/>
      <c r="F482" s="11"/>
      <c r="G482" s="11"/>
      <c r="H482" s="11"/>
      <c r="I482" s="11"/>
    </row>
    <row r="483" spans="4:9" ht="14.25" customHeight="1" x14ac:dyDescent="0.2">
      <c r="D483" s="34"/>
      <c r="F483" s="11"/>
      <c r="G483" s="11"/>
      <c r="H483" s="11"/>
      <c r="I483" s="11"/>
    </row>
    <row r="484" spans="4:9" ht="14.25" customHeight="1" x14ac:dyDescent="0.2">
      <c r="D484" s="34"/>
      <c r="F484" s="11"/>
      <c r="G484" s="11"/>
      <c r="H484" s="11"/>
      <c r="I484" s="11"/>
    </row>
    <row r="485" spans="4:9" ht="14.25" customHeight="1" x14ac:dyDescent="0.2">
      <c r="D485" s="34"/>
      <c r="F485" s="11"/>
      <c r="G485" s="11"/>
      <c r="H485" s="11"/>
      <c r="I485" s="11"/>
    </row>
    <row r="486" spans="4:9" ht="14.25" customHeight="1" x14ac:dyDescent="0.2">
      <c r="D486" s="34"/>
      <c r="F486" s="11"/>
      <c r="G486" s="11"/>
      <c r="H486" s="11"/>
      <c r="I486" s="11"/>
    </row>
    <row r="487" spans="4:9" ht="14.25" customHeight="1" x14ac:dyDescent="0.2">
      <c r="D487" s="34"/>
      <c r="F487" s="11"/>
      <c r="G487" s="11"/>
      <c r="H487" s="11"/>
      <c r="I487" s="11"/>
    </row>
    <row r="488" spans="4:9" ht="14.25" customHeight="1" x14ac:dyDescent="0.2">
      <c r="D488" s="34"/>
      <c r="F488" s="11"/>
      <c r="G488" s="11"/>
      <c r="H488" s="11"/>
      <c r="I488" s="11"/>
    </row>
    <row r="489" spans="4:9" ht="14.25" customHeight="1" x14ac:dyDescent="0.2">
      <c r="D489" s="34"/>
      <c r="F489" s="11"/>
      <c r="G489" s="11"/>
      <c r="H489" s="11"/>
      <c r="I489" s="11"/>
    </row>
    <row r="490" spans="4:9" ht="14.25" customHeight="1" x14ac:dyDescent="0.2">
      <c r="D490" s="34"/>
      <c r="F490" s="11"/>
      <c r="G490" s="11"/>
      <c r="H490" s="11"/>
      <c r="I490" s="11"/>
    </row>
    <row r="491" spans="4:9" ht="14.25" customHeight="1" x14ac:dyDescent="0.2">
      <c r="D491" s="34"/>
      <c r="F491" s="11"/>
      <c r="G491" s="11"/>
      <c r="H491" s="11"/>
      <c r="I491" s="11"/>
    </row>
    <row r="492" spans="4:9" ht="14.25" customHeight="1" x14ac:dyDescent="0.2">
      <c r="D492" s="34"/>
      <c r="F492" s="11"/>
      <c r="G492" s="11"/>
      <c r="H492" s="11"/>
      <c r="I492" s="11"/>
    </row>
    <row r="493" spans="4:9" ht="14.25" customHeight="1" x14ac:dyDescent="0.2">
      <c r="D493" s="34"/>
      <c r="F493" s="11"/>
      <c r="G493" s="11"/>
      <c r="H493" s="11"/>
      <c r="I493" s="11"/>
    </row>
    <row r="494" spans="4:9" ht="14.25" customHeight="1" x14ac:dyDescent="0.2">
      <c r="D494" s="34"/>
      <c r="F494" s="11"/>
      <c r="G494" s="11"/>
      <c r="H494" s="11"/>
      <c r="I494" s="11"/>
    </row>
    <row r="495" spans="4:9" ht="14.25" customHeight="1" x14ac:dyDescent="0.2">
      <c r="D495" s="34"/>
      <c r="F495" s="11"/>
      <c r="G495" s="11"/>
      <c r="H495" s="11"/>
      <c r="I495" s="11"/>
    </row>
    <row r="496" spans="4:9" ht="14.25" customHeight="1" x14ac:dyDescent="0.2">
      <c r="D496" s="34"/>
      <c r="F496" s="11"/>
      <c r="G496" s="11"/>
      <c r="H496" s="11"/>
      <c r="I496" s="11"/>
    </row>
    <row r="497" spans="4:9" ht="14.25" customHeight="1" x14ac:dyDescent="0.2">
      <c r="D497" s="34"/>
      <c r="F497" s="11"/>
      <c r="G497" s="11"/>
      <c r="H497" s="11"/>
      <c r="I497" s="11"/>
    </row>
    <row r="498" spans="4:9" ht="14.25" customHeight="1" x14ac:dyDescent="0.2">
      <c r="D498" s="34"/>
      <c r="F498" s="11"/>
      <c r="G498" s="11"/>
      <c r="H498" s="11"/>
      <c r="I498" s="11"/>
    </row>
    <row r="499" spans="4:9" ht="14.25" customHeight="1" x14ac:dyDescent="0.2">
      <c r="D499" s="34"/>
      <c r="F499" s="11"/>
      <c r="G499" s="11"/>
      <c r="H499" s="11"/>
      <c r="I499" s="11"/>
    </row>
    <row r="500" spans="4:9" ht="14.25" customHeight="1" x14ac:dyDescent="0.2">
      <c r="D500" s="34"/>
      <c r="F500" s="11"/>
      <c r="G500" s="11"/>
      <c r="H500" s="11"/>
      <c r="I500" s="11"/>
    </row>
    <row r="501" spans="4:9" ht="14.25" customHeight="1" x14ac:dyDescent="0.2">
      <c r="D501" s="34"/>
      <c r="F501" s="11"/>
      <c r="G501" s="11"/>
      <c r="H501" s="11"/>
      <c r="I501" s="11"/>
    </row>
    <row r="502" spans="4:9" ht="14.25" customHeight="1" x14ac:dyDescent="0.2">
      <c r="D502" s="34"/>
      <c r="F502" s="11"/>
      <c r="G502" s="11"/>
      <c r="H502" s="11"/>
      <c r="I502" s="11"/>
    </row>
    <row r="503" spans="4:9" ht="14.25" customHeight="1" x14ac:dyDescent="0.2">
      <c r="D503" s="34"/>
      <c r="F503" s="11"/>
      <c r="G503" s="11"/>
      <c r="H503" s="11"/>
      <c r="I503" s="11"/>
    </row>
    <row r="504" spans="4:9" ht="14.25" customHeight="1" x14ac:dyDescent="0.2">
      <c r="D504" s="34"/>
      <c r="F504" s="11"/>
      <c r="G504" s="11"/>
      <c r="H504" s="11"/>
      <c r="I504" s="11"/>
    </row>
    <row r="505" spans="4:9" ht="14.25" customHeight="1" x14ac:dyDescent="0.2">
      <c r="D505" s="34"/>
      <c r="F505" s="11"/>
      <c r="G505" s="11"/>
      <c r="H505" s="11"/>
      <c r="I505" s="11"/>
    </row>
    <row r="506" spans="4:9" ht="14.25" customHeight="1" x14ac:dyDescent="0.2">
      <c r="D506" s="34"/>
      <c r="F506" s="11"/>
      <c r="G506" s="11"/>
      <c r="H506" s="11"/>
      <c r="I506" s="11"/>
    </row>
    <row r="507" spans="4:9" ht="14.25" customHeight="1" x14ac:dyDescent="0.2">
      <c r="D507" s="34"/>
      <c r="F507" s="11"/>
      <c r="G507" s="11"/>
      <c r="H507" s="11"/>
      <c r="I507" s="11"/>
    </row>
    <row r="508" spans="4:9" ht="14.25" customHeight="1" x14ac:dyDescent="0.2">
      <c r="D508" s="34"/>
      <c r="F508" s="11"/>
      <c r="G508" s="11"/>
      <c r="H508" s="11"/>
      <c r="I508" s="11"/>
    </row>
    <row r="509" spans="4:9" ht="14.25" customHeight="1" x14ac:dyDescent="0.2">
      <c r="D509" s="34"/>
      <c r="F509" s="11"/>
      <c r="G509" s="11"/>
      <c r="H509" s="11"/>
      <c r="I509" s="11"/>
    </row>
    <row r="510" spans="4:9" ht="14.25" customHeight="1" x14ac:dyDescent="0.2">
      <c r="D510" s="34"/>
      <c r="F510" s="11"/>
      <c r="G510" s="11"/>
      <c r="H510" s="11"/>
      <c r="I510" s="11"/>
    </row>
    <row r="511" spans="4:9" ht="14.25" customHeight="1" x14ac:dyDescent="0.2">
      <c r="D511" s="34"/>
      <c r="F511" s="11"/>
      <c r="G511" s="11"/>
      <c r="H511" s="11"/>
      <c r="I511" s="11"/>
    </row>
    <row r="512" spans="4:9" ht="14.25" customHeight="1" x14ac:dyDescent="0.2">
      <c r="D512" s="34"/>
      <c r="F512" s="11"/>
      <c r="G512" s="11"/>
      <c r="H512" s="11"/>
      <c r="I512" s="11"/>
    </row>
    <row r="513" spans="4:9" ht="14.25" customHeight="1" x14ac:dyDescent="0.2">
      <c r="D513" s="34"/>
      <c r="F513" s="11"/>
      <c r="G513" s="11"/>
      <c r="H513" s="11"/>
      <c r="I513" s="11"/>
    </row>
    <row r="514" spans="4:9" ht="14.25" customHeight="1" x14ac:dyDescent="0.2">
      <c r="D514" s="34"/>
      <c r="F514" s="11"/>
      <c r="G514" s="11"/>
      <c r="H514" s="11"/>
      <c r="I514" s="11"/>
    </row>
    <row r="515" spans="4:9" ht="14.25" customHeight="1" x14ac:dyDescent="0.2">
      <c r="D515" s="34"/>
      <c r="F515" s="11"/>
      <c r="G515" s="11"/>
      <c r="H515" s="11"/>
      <c r="I515" s="11"/>
    </row>
    <row r="516" spans="4:9" ht="14.25" customHeight="1" x14ac:dyDescent="0.2">
      <c r="D516" s="34"/>
      <c r="F516" s="11"/>
      <c r="G516" s="11"/>
      <c r="H516" s="11"/>
      <c r="I516" s="11"/>
    </row>
    <row r="517" spans="4:9" ht="14.25" customHeight="1" x14ac:dyDescent="0.2">
      <c r="D517" s="34"/>
      <c r="F517" s="11"/>
      <c r="G517" s="11"/>
      <c r="H517" s="11"/>
      <c r="I517" s="11"/>
    </row>
    <row r="518" spans="4:9" ht="14.25" customHeight="1" x14ac:dyDescent="0.2">
      <c r="D518" s="34"/>
      <c r="F518" s="11"/>
      <c r="G518" s="11"/>
      <c r="H518" s="11"/>
      <c r="I518" s="11"/>
    </row>
    <row r="519" spans="4:9" ht="14.25" customHeight="1" x14ac:dyDescent="0.2">
      <c r="D519" s="34"/>
      <c r="F519" s="11"/>
      <c r="G519" s="11"/>
      <c r="H519" s="11"/>
      <c r="I519" s="11"/>
    </row>
    <row r="520" spans="4:9" ht="14.25" customHeight="1" x14ac:dyDescent="0.2">
      <c r="D520" s="34"/>
      <c r="F520" s="11"/>
      <c r="G520" s="11"/>
      <c r="H520" s="11"/>
      <c r="I520" s="11"/>
    </row>
    <row r="521" spans="4:9" ht="14.25" customHeight="1" x14ac:dyDescent="0.2">
      <c r="D521" s="34"/>
      <c r="F521" s="11"/>
      <c r="G521" s="11"/>
      <c r="H521" s="11"/>
      <c r="I521" s="11"/>
    </row>
    <row r="522" spans="4:9" ht="14.25" customHeight="1" x14ac:dyDescent="0.2">
      <c r="D522" s="34"/>
      <c r="F522" s="11"/>
      <c r="G522" s="11"/>
      <c r="H522" s="11"/>
      <c r="I522" s="11"/>
    </row>
    <row r="523" spans="4:9" ht="14.25" customHeight="1" x14ac:dyDescent="0.2">
      <c r="D523" s="34"/>
      <c r="F523" s="11"/>
      <c r="G523" s="11"/>
      <c r="H523" s="11"/>
      <c r="I523" s="11"/>
    </row>
    <row r="524" spans="4:9" ht="14.25" customHeight="1" x14ac:dyDescent="0.2">
      <c r="D524" s="34"/>
      <c r="F524" s="11"/>
      <c r="G524" s="11"/>
      <c r="H524" s="11"/>
      <c r="I524" s="11"/>
    </row>
    <row r="525" spans="4:9" ht="14.25" customHeight="1" x14ac:dyDescent="0.2">
      <c r="D525" s="34"/>
      <c r="F525" s="11"/>
      <c r="G525" s="11"/>
      <c r="H525" s="11"/>
      <c r="I525" s="11"/>
    </row>
    <row r="526" spans="4:9" ht="14.25" customHeight="1" x14ac:dyDescent="0.2">
      <c r="D526" s="34"/>
      <c r="F526" s="11"/>
      <c r="G526" s="11"/>
      <c r="H526" s="11"/>
      <c r="I526" s="11"/>
    </row>
    <row r="527" spans="4:9" ht="14.25" customHeight="1" x14ac:dyDescent="0.2">
      <c r="D527" s="34"/>
      <c r="F527" s="11"/>
      <c r="G527" s="11"/>
      <c r="H527" s="11"/>
      <c r="I527" s="11"/>
    </row>
    <row r="528" spans="4:9" ht="14.25" customHeight="1" x14ac:dyDescent="0.2">
      <c r="D528" s="34"/>
      <c r="F528" s="11"/>
      <c r="G528" s="11"/>
      <c r="H528" s="11"/>
      <c r="I528" s="11"/>
    </row>
    <row r="529" spans="4:9" ht="14.25" customHeight="1" x14ac:dyDescent="0.2">
      <c r="D529" s="34"/>
      <c r="F529" s="11"/>
      <c r="G529" s="11"/>
      <c r="H529" s="11"/>
      <c r="I529" s="11"/>
    </row>
    <row r="530" spans="4:9" ht="14.25" customHeight="1" x14ac:dyDescent="0.2">
      <c r="D530" s="34"/>
      <c r="F530" s="11"/>
      <c r="G530" s="11"/>
      <c r="H530" s="11"/>
      <c r="I530" s="11"/>
    </row>
    <row r="531" spans="4:9" ht="14.25" customHeight="1" x14ac:dyDescent="0.2">
      <c r="D531" s="34"/>
      <c r="F531" s="11"/>
      <c r="G531" s="11"/>
      <c r="H531" s="11"/>
      <c r="I531" s="11"/>
    </row>
    <row r="532" spans="4:9" ht="14.25" customHeight="1" x14ac:dyDescent="0.2">
      <c r="D532" s="34"/>
      <c r="F532" s="11"/>
      <c r="G532" s="11"/>
      <c r="H532" s="11"/>
      <c r="I532" s="11"/>
    </row>
    <row r="533" spans="4:9" ht="14.25" customHeight="1" x14ac:dyDescent="0.2">
      <c r="D533" s="34"/>
      <c r="F533" s="11"/>
      <c r="G533" s="11"/>
      <c r="H533" s="11"/>
      <c r="I533" s="11"/>
    </row>
    <row r="534" spans="4:9" ht="14.25" customHeight="1" x14ac:dyDescent="0.2">
      <c r="D534" s="34"/>
      <c r="F534" s="11"/>
      <c r="G534" s="11"/>
      <c r="H534" s="11"/>
      <c r="I534" s="11"/>
    </row>
    <row r="535" spans="4:9" ht="14.25" customHeight="1" x14ac:dyDescent="0.2">
      <c r="D535" s="34"/>
      <c r="F535" s="11"/>
      <c r="G535" s="11"/>
      <c r="H535" s="11"/>
      <c r="I535" s="11"/>
    </row>
    <row r="536" spans="4:9" ht="14.25" customHeight="1" x14ac:dyDescent="0.2">
      <c r="D536" s="34"/>
      <c r="F536" s="11"/>
      <c r="G536" s="11"/>
      <c r="H536" s="11"/>
      <c r="I536" s="11"/>
    </row>
    <row r="537" spans="4:9" ht="14.25" customHeight="1" x14ac:dyDescent="0.2">
      <c r="D537" s="34"/>
      <c r="F537" s="11"/>
      <c r="G537" s="11"/>
      <c r="H537" s="11"/>
      <c r="I537" s="11"/>
    </row>
    <row r="538" spans="4:9" ht="14.25" customHeight="1" x14ac:dyDescent="0.2">
      <c r="D538" s="34"/>
      <c r="F538" s="11"/>
      <c r="G538" s="11"/>
      <c r="H538" s="11"/>
      <c r="I538" s="11"/>
    </row>
    <row r="539" spans="4:9" ht="14.25" customHeight="1" x14ac:dyDescent="0.2">
      <c r="D539" s="34"/>
      <c r="F539" s="11"/>
      <c r="G539" s="11"/>
      <c r="H539" s="11"/>
      <c r="I539" s="11"/>
    </row>
    <row r="540" spans="4:9" ht="14.25" customHeight="1" x14ac:dyDescent="0.2">
      <c r="D540" s="34"/>
      <c r="F540" s="11"/>
      <c r="G540" s="11"/>
      <c r="H540" s="11"/>
      <c r="I540" s="11"/>
    </row>
    <row r="541" spans="4:9" ht="14.25" customHeight="1" x14ac:dyDescent="0.2">
      <c r="D541" s="34"/>
      <c r="F541" s="11"/>
      <c r="G541" s="11"/>
      <c r="H541" s="11"/>
      <c r="I541" s="11"/>
    </row>
    <row r="542" spans="4:9" ht="14.25" customHeight="1" x14ac:dyDescent="0.2">
      <c r="D542" s="34"/>
      <c r="F542" s="11"/>
      <c r="G542" s="11"/>
      <c r="H542" s="11"/>
      <c r="I542" s="11"/>
    </row>
    <row r="543" spans="4:9" ht="14.25" customHeight="1" x14ac:dyDescent="0.2">
      <c r="D543" s="34"/>
      <c r="F543" s="11"/>
      <c r="G543" s="11"/>
      <c r="H543" s="11"/>
      <c r="I543" s="11"/>
    </row>
    <row r="544" spans="4:9" ht="14.25" customHeight="1" x14ac:dyDescent="0.2">
      <c r="D544" s="34"/>
      <c r="F544" s="11"/>
      <c r="G544" s="11"/>
      <c r="H544" s="11"/>
      <c r="I544" s="11"/>
    </row>
    <row r="545" spans="4:9" ht="14.25" customHeight="1" x14ac:dyDescent="0.2">
      <c r="D545" s="34"/>
      <c r="F545" s="11"/>
      <c r="G545" s="11"/>
      <c r="H545" s="11"/>
      <c r="I545" s="11"/>
    </row>
    <row r="546" spans="4:9" ht="14.25" customHeight="1" x14ac:dyDescent="0.2">
      <c r="D546" s="34"/>
      <c r="F546" s="11"/>
      <c r="G546" s="11"/>
      <c r="H546" s="11"/>
      <c r="I546" s="11"/>
    </row>
    <row r="547" spans="4:9" ht="14.25" customHeight="1" x14ac:dyDescent="0.2">
      <c r="D547" s="34"/>
      <c r="F547" s="11"/>
      <c r="G547" s="11"/>
      <c r="H547" s="11"/>
      <c r="I547" s="11"/>
    </row>
    <row r="548" spans="4:9" ht="14.25" customHeight="1" x14ac:dyDescent="0.2">
      <c r="D548" s="34"/>
      <c r="F548" s="11"/>
      <c r="G548" s="11"/>
      <c r="H548" s="11"/>
      <c r="I548" s="11"/>
    </row>
    <row r="549" spans="4:9" ht="14.25" customHeight="1" x14ac:dyDescent="0.2">
      <c r="D549" s="34"/>
      <c r="F549" s="11"/>
      <c r="G549" s="11"/>
      <c r="H549" s="11"/>
      <c r="I549" s="11"/>
    </row>
    <row r="550" spans="4:9" ht="14.25" customHeight="1" x14ac:dyDescent="0.2">
      <c r="D550" s="34"/>
      <c r="F550" s="11"/>
      <c r="G550" s="11"/>
      <c r="H550" s="11"/>
      <c r="I550" s="11"/>
    </row>
    <row r="551" spans="4:9" ht="14.25" customHeight="1" x14ac:dyDescent="0.2">
      <c r="D551" s="34"/>
      <c r="F551" s="11"/>
      <c r="G551" s="11"/>
      <c r="H551" s="11"/>
      <c r="I551" s="11"/>
    </row>
    <row r="552" spans="4:9" ht="14.25" customHeight="1" x14ac:dyDescent="0.2">
      <c r="D552" s="34"/>
      <c r="F552" s="11"/>
      <c r="G552" s="11"/>
      <c r="H552" s="11"/>
      <c r="I552" s="11"/>
    </row>
    <row r="553" spans="4:9" ht="14.25" customHeight="1" x14ac:dyDescent="0.2">
      <c r="D553" s="34"/>
      <c r="F553" s="11"/>
      <c r="G553" s="11"/>
      <c r="H553" s="11"/>
      <c r="I553" s="11"/>
    </row>
    <row r="554" spans="4:9" ht="14.25" customHeight="1" x14ac:dyDescent="0.2">
      <c r="D554" s="34"/>
      <c r="F554" s="11"/>
      <c r="G554" s="11"/>
      <c r="H554" s="11"/>
      <c r="I554" s="11"/>
    </row>
    <row r="555" spans="4:9" ht="14.25" customHeight="1" x14ac:dyDescent="0.2">
      <c r="D555" s="34"/>
      <c r="F555" s="11"/>
      <c r="G555" s="11"/>
      <c r="H555" s="11"/>
      <c r="I555" s="11"/>
    </row>
    <row r="556" spans="4:9" ht="14.25" customHeight="1" x14ac:dyDescent="0.2">
      <c r="D556" s="34"/>
      <c r="F556" s="11"/>
      <c r="G556" s="11"/>
      <c r="H556" s="11"/>
      <c r="I556" s="11"/>
    </row>
    <row r="557" spans="4:9" ht="14.25" customHeight="1" x14ac:dyDescent="0.2">
      <c r="D557" s="34"/>
      <c r="F557" s="11"/>
      <c r="G557" s="11"/>
      <c r="H557" s="11"/>
      <c r="I557" s="11"/>
    </row>
    <row r="558" spans="4:9" ht="14.25" customHeight="1" x14ac:dyDescent="0.2">
      <c r="D558" s="34"/>
      <c r="F558" s="11"/>
      <c r="G558" s="11"/>
      <c r="H558" s="11"/>
      <c r="I558" s="11"/>
    </row>
    <row r="559" spans="4:9" ht="14.25" customHeight="1" x14ac:dyDescent="0.2">
      <c r="D559" s="34"/>
      <c r="F559" s="11"/>
      <c r="G559" s="11"/>
      <c r="H559" s="11"/>
      <c r="I559" s="11"/>
    </row>
    <row r="560" spans="4:9" ht="14.25" customHeight="1" x14ac:dyDescent="0.2">
      <c r="D560" s="34"/>
      <c r="F560" s="11"/>
      <c r="G560" s="11"/>
      <c r="H560" s="11"/>
      <c r="I560" s="11"/>
    </row>
    <row r="561" spans="4:9" ht="14.25" customHeight="1" x14ac:dyDescent="0.2">
      <c r="D561" s="34"/>
      <c r="F561" s="11"/>
      <c r="G561" s="11"/>
      <c r="H561" s="11"/>
      <c r="I561" s="11"/>
    </row>
    <row r="562" spans="4:9" ht="14.25" customHeight="1" x14ac:dyDescent="0.2">
      <c r="D562" s="34"/>
      <c r="F562" s="11"/>
      <c r="G562" s="11"/>
      <c r="H562" s="11"/>
      <c r="I562" s="11"/>
    </row>
    <row r="563" spans="4:9" ht="14.25" customHeight="1" x14ac:dyDescent="0.2">
      <c r="D563" s="34"/>
      <c r="F563" s="11"/>
      <c r="G563" s="11"/>
      <c r="H563" s="11"/>
      <c r="I563" s="11"/>
    </row>
    <row r="564" spans="4:9" ht="14.25" customHeight="1" x14ac:dyDescent="0.2">
      <c r="D564" s="34"/>
      <c r="F564" s="11"/>
      <c r="G564" s="11"/>
      <c r="H564" s="11"/>
      <c r="I564" s="11"/>
    </row>
    <row r="565" spans="4:9" ht="14.25" customHeight="1" x14ac:dyDescent="0.2">
      <c r="D565" s="34"/>
      <c r="F565" s="11"/>
      <c r="G565" s="11"/>
      <c r="H565" s="11"/>
      <c r="I565" s="11"/>
    </row>
    <row r="566" spans="4:9" ht="14.25" customHeight="1" x14ac:dyDescent="0.2">
      <c r="D566" s="34"/>
      <c r="F566" s="11"/>
      <c r="G566" s="11"/>
      <c r="H566" s="11"/>
      <c r="I566" s="11"/>
    </row>
    <row r="567" spans="4:9" ht="14.25" customHeight="1" x14ac:dyDescent="0.2">
      <c r="D567" s="34"/>
      <c r="F567" s="11"/>
      <c r="G567" s="11"/>
      <c r="H567" s="11"/>
      <c r="I567" s="11"/>
    </row>
    <row r="568" spans="4:9" ht="14.25" customHeight="1" x14ac:dyDescent="0.2">
      <c r="D568" s="34"/>
      <c r="F568" s="11"/>
      <c r="G568" s="11"/>
      <c r="H568" s="11"/>
      <c r="I568" s="11"/>
    </row>
    <row r="569" spans="4:9" ht="14.25" customHeight="1" x14ac:dyDescent="0.2">
      <c r="D569" s="34"/>
      <c r="F569" s="11"/>
      <c r="G569" s="11"/>
      <c r="H569" s="11"/>
      <c r="I569" s="11"/>
    </row>
    <row r="570" spans="4:9" ht="14.25" customHeight="1" x14ac:dyDescent="0.2">
      <c r="D570" s="34"/>
      <c r="F570" s="11"/>
      <c r="G570" s="11"/>
      <c r="H570" s="11"/>
      <c r="I570" s="11"/>
    </row>
    <row r="571" spans="4:9" ht="14.25" customHeight="1" x14ac:dyDescent="0.2">
      <c r="D571" s="34"/>
      <c r="F571" s="11"/>
      <c r="G571" s="11"/>
      <c r="H571" s="11"/>
      <c r="I571" s="11"/>
    </row>
    <row r="572" spans="4:9" ht="14.25" customHeight="1" x14ac:dyDescent="0.2">
      <c r="D572" s="34"/>
      <c r="F572" s="11"/>
      <c r="G572" s="11"/>
      <c r="H572" s="11"/>
      <c r="I572" s="11"/>
    </row>
    <row r="573" spans="4:9" ht="14.25" customHeight="1" x14ac:dyDescent="0.2">
      <c r="D573" s="34"/>
      <c r="F573" s="11"/>
      <c r="G573" s="11"/>
      <c r="H573" s="11"/>
      <c r="I573" s="11"/>
    </row>
    <row r="574" spans="4:9" ht="14.25" customHeight="1" x14ac:dyDescent="0.2">
      <c r="D574" s="34"/>
      <c r="F574" s="11"/>
      <c r="G574" s="11"/>
      <c r="H574" s="11"/>
      <c r="I574" s="11"/>
    </row>
    <row r="575" spans="4:9" ht="14.25" customHeight="1" x14ac:dyDescent="0.2">
      <c r="D575" s="34"/>
      <c r="F575" s="11"/>
      <c r="G575" s="11"/>
      <c r="H575" s="11"/>
      <c r="I575" s="11"/>
    </row>
    <row r="576" spans="4:9" ht="14.25" customHeight="1" x14ac:dyDescent="0.2">
      <c r="D576" s="34"/>
      <c r="F576" s="11"/>
      <c r="G576" s="11"/>
      <c r="H576" s="11"/>
      <c r="I576" s="11"/>
    </row>
    <row r="577" spans="4:9" ht="14.25" customHeight="1" x14ac:dyDescent="0.2">
      <c r="D577" s="34"/>
      <c r="F577" s="11"/>
      <c r="G577" s="11"/>
      <c r="H577" s="11"/>
      <c r="I577" s="11"/>
    </row>
    <row r="578" spans="4:9" ht="14.25" customHeight="1" x14ac:dyDescent="0.2">
      <c r="D578" s="34"/>
      <c r="F578" s="11"/>
      <c r="G578" s="11"/>
      <c r="H578" s="11"/>
      <c r="I578" s="11"/>
    </row>
    <row r="579" spans="4:9" ht="14.25" customHeight="1" x14ac:dyDescent="0.2">
      <c r="D579" s="34"/>
      <c r="F579" s="11"/>
      <c r="G579" s="11"/>
      <c r="H579" s="11"/>
      <c r="I579" s="11"/>
    </row>
    <row r="580" spans="4:9" ht="14.25" customHeight="1" x14ac:dyDescent="0.2">
      <c r="D580" s="34"/>
      <c r="F580" s="11"/>
      <c r="G580" s="11"/>
      <c r="H580" s="11"/>
      <c r="I580" s="11"/>
    </row>
    <row r="581" spans="4:9" ht="14.25" customHeight="1" x14ac:dyDescent="0.2">
      <c r="D581" s="34"/>
      <c r="F581" s="11"/>
      <c r="G581" s="11"/>
      <c r="H581" s="11"/>
      <c r="I581" s="11"/>
    </row>
    <row r="582" spans="4:9" ht="14.25" customHeight="1" x14ac:dyDescent="0.2">
      <c r="D582" s="34"/>
      <c r="F582" s="11"/>
      <c r="G582" s="11"/>
      <c r="H582" s="11"/>
      <c r="I582" s="11"/>
    </row>
    <row r="583" spans="4:9" ht="14.25" customHeight="1" x14ac:dyDescent="0.2">
      <c r="D583" s="34"/>
      <c r="F583" s="11"/>
      <c r="G583" s="11"/>
      <c r="H583" s="11"/>
      <c r="I583" s="11"/>
    </row>
    <row r="584" spans="4:9" ht="14.25" customHeight="1" x14ac:dyDescent="0.2">
      <c r="D584" s="34"/>
      <c r="F584" s="11"/>
      <c r="G584" s="11"/>
      <c r="H584" s="11"/>
      <c r="I584" s="11"/>
    </row>
    <row r="585" spans="4:9" ht="14.25" customHeight="1" x14ac:dyDescent="0.2">
      <c r="D585" s="34"/>
      <c r="F585" s="11"/>
      <c r="G585" s="11"/>
      <c r="H585" s="11"/>
      <c r="I585" s="11"/>
    </row>
    <row r="586" spans="4:9" ht="14.25" customHeight="1" x14ac:dyDescent="0.2">
      <c r="D586" s="34"/>
      <c r="F586" s="11"/>
      <c r="G586" s="11"/>
      <c r="H586" s="11"/>
      <c r="I586" s="11"/>
    </row>
    <row r="587" spans="4:9" ht="14.25" customHeight="1" x14ac:dyDescent="0.2">
      <c r="D587" s="34"/>
      <c r="F587" s="11"/>
      <c r="G587" s="11"/>
      <c r="H587" s="11"/>
      <c r="I587" s="11"/>
    </row>
    <row r="588" spans="4:9" ht="14.25" customHeight="1" x14ac:dyDescent="0.2">
      <c r="D588" s="34"/>
      <c r="F588" s="11"/>
      <c r="G588" s="11"/>
      <c r="H588" s="11"/>
      <c r="I588" s="11"/>
    </row>
    <row r="589" spans="4:9" ht="14.25" customHeight="1" x14ac:dyDescent="0.2">
      <c r="D589" s="34"/>
      <c r="F589" s="11"/>
      <c r="G589" s="11"/>
      <c r="H589" s="11"/>
      <c r="I589" s="11"/>
    </row>
    <row r="590" spans="4:9" ht="14.25" customHeight="1" x14ac:dyDescent="0.2">
      <c r="D590" s="34"/>
      <c r="F590" s="11"/>
      <c r="G590" s="11"/>
      <c r="H590" s="11"/>
      <c r="I590" s="11"/>
    </row>
    <row r="591" spans="4:9" ht="14.25" customHeight="1" x14ac:dyDescent="0.2">
      <c r="D591" s="34"/>
      <c r="F591" s="11"/>
      <c r="G591" s="11"/>
      <c r="H591" s="11"/>
      <c r="I591" s="11"/>
    </row>
    <row r="592" spans="4:9" ht="14.25" customHeight="1" x14ac:dyDescent="0.2">
      <c r="D592" s="34"/>
      <c r="F592" s="11"/>
      <c r="G592" s="11"/>
      <c r="H592" s="11"/>
      <c r="I592" s="11"/>
    </row>
    <row r="593" spans="4:9" ht="14.25" customHeight="1" x14ac:dyDescent="0.2">
      <c r="D593" s="34"/>
      <c r="F593" s="11"/>
      <c r="G593" s="11"/>
      <c r="H593" s="11"/>
      <c r="I593" s="11"/>
    </row>
    <row r="594" spans="4:9" ht="14.25" customHeight="1" x14ac:dyDescent="0.2">
      <c r="D594" s="34"/>
      <c r="F594" s="11"/>
      <c r="G594" s="11"/>
      <c r="H594" s="11"/>
      <c r="I594" s="11"/>
    </row>
    <row r="595" spans="4:9" ht="14.25" customHeight="1" x14ac:dyDescent="0.2">
      <c r="D595" s="34"/>
      <c r="F595" s="11"/>
      <c r="G595" s="11"/>
      <c r="H595" s="11"/>
      <c r="I595" s="11"/>
    </row>
    <row r="596" spans="4:9" ht="14.25" customHeight="1" x14ac:dyDescent="0.2">
      <c r="D596" s="34"/>
      <c r="F596" s="11"/>
      <c r="G596" s="11"/>
      <c r="H596" s="11"/>
      <c r="I596" s="11"/>
    </row>
    <row r="597" spans="4:9" ht="14.25" customHeight="1" x14ac:dyDescent="0.2">
      <c r="D597" s="34"/>
      <c r="F597" s="11"/>
      <c r="G597" s="11"/>
      <c r="H597" s="11"/>
      <c r="I597" s="11"/>
    </row>
    <row r="598" spans="4:9" ht="14.25" customHeight="1" x14ac:dyDescent="0.2">
      <c r="D598" s="34"/>
      <c r="F598" s="11"/>
      <c r="G598" s="11"/>
      <c r="H598" s="11"/>
      <c r="I598" s="11"/>
    </row>
    <row r="599" spans="4:9" ht="14.25" customHeight="1" x14ac:dyDescent="0.2">
      <c r="D599" s="34"/>
      <c r="F599" s="11"/>
      <c r="G599" s="11"/>
      <c r="H599" s="11"/>
      <c r="I599" s="11"/>
    </row>
    <row r="600" spans="4:9" ht="14.25" customHeight="1" x14ac:dyDescent="0.2">
      <c r="D600" s="34"/>
      <c r="F600" s="11"/>
      <c r="G600" s="11"/>
      <c r="H600" s="11"/>
      <c r="I600" s="11"/>
    </row>
    <row r="601" spans="4:9" ht="14.25" customHeight="1" x14ac:dyDescent="0.2">
      <c r="D601" s="34"/>
      <c r="F601" s="11"/>
      <c r="G601" s="11"/>
      <c r="H601" s="11"/>
      <c r="I601" s="11"/>
    </row>
    <row r="602" spans="4:9" ht="14.25" customHeight="1" x14ac:dyDescent="0.2">
      <c r="D602" s="34"/>
      <c r="F602" s="11"/>
      <c r="G602" s="11"/>
      <c r="H602" s="11"/>
      <c r="I602" s="11"/>
    </row>
    <row r="603" spans="4:9" ht="14.25" customHeight="1" x14ac:dyDescent="0.2">
      <c r="D603" s="34"/>
      <c r="F603" s="11"/>
      <c r="G603" s="11"/>
      <c r="H603" s="11"/>
      <c r="I603" s="11"/>
    </row>
    <row r="604" spans="4:9" ht="14.25" customHeight="1" x14ac:dyDescent="0.2">
      <c r="D604" s="34"/>
      <c r="F604" s="11"/>
      <c r="G604" s="11"/>
      <c r="H604" s="11"/>
      <c r="I604" s="11"/>
    </row>
    <row r="605" spans="4:9" ht="14.25" customHeight="1" x14ac:dyDescent="0.2">
      <c r="D605" s="34"/>
      <c r="F605" s="11"/>
      <c r="G605" s="11"/>
      <c r="H605" s="11"/>
      <c r="I605" s="11"/>
    </row>
    <row r="606" spans="4:9" ht="14.25" customHeight="1" x14ac:dyDescent="0.2">
      <c r="D606" s="34"/>
      <c r="F606" s="11"/>
      <c r="G606" s="11"/>
      <c r="H606" s="11"/>
      <c r="I606" s="11"/>
    </row>
    <row r="607" spans="4:9" ht="14.25" customHeight="1" x14ac:dyDescent="0.2">
      <c r="D607" s="34"/>
      <c r="F607" s="11"/>
      <c r="G607" s="11"/>
      <c r="H607" s="11"/>
      <c r="I607" s="11"/>
    </row>
    <row r="608" spans="4:9" ht="14.25" customHeight="1" x14ac:dyDescent="0.2">
      <c r="D608" s="34"/>
      <c r="F608" s="11"/>
      <c r="G608" s="11"/>
      <c r="H608" s="11"/>
      <c r="I608" s="11"/>
    </row>
    <row r="609" spans="4:9" ht="14.25" customHeight="1" x14ac:dyDescent="0.2">
      <c r="D609" s="34"/>
      <c r="F609" s="11"/>
      <c r="G609" s="11"/>
      <c r="H609" s="11"/>
      <c r="I609" s="11"/>
    </row>
    <row r="610" spans="4:9" ht="14.25" customHeight="1" x14ac:dyDescent="0.2">
      <c r="D610" s="34"/>
      <c r="F610" s="11"/>
      <c r="G610" s="11"/>
      <c r="H610" s="11"/>
      <c r="I610" s="11"/>
    </row>
    <row r="611" spans="4:9" ht="14.25" customHeight="1" x14ac:dyDescent="0.2">
      <c r="D611" s="34"/>
      <c r="F611" s="11"/>
      <c r="G611" s="11"/>
      <c r="H611" s="11"/>
      <c r="I611" s="11"/>
    </row>
    <row r="612" spans="4:9" ht="14.25" customHeight="1" x14ac:dyDescent="0.2">
      <c r="D612" s="34"/>
      <c r="F612" s="11"/>
      <c r="G612" s="11"/>
      <c r="H612" s="11"/>
      <c r="I612" s="11"/>
    </row>
    <row r="613" spans="4:9" ht="14.25" customHeight="1" x14ac:dyDescent="0.2">
      <c r="D613" s="34"/>
      <c r="F613" s="11"/>
      <c r="G613" s="11"/>
      <c r="H613" s="11"/>
      <c r="I613" s="11"/>
    </row>
    <row r="614" spans="4:9" ht="14.25" customHeight="1" x14ac:dyDescent="0.2">
      <c r="D614" s="34"/>
      <c r="F614" s="11"/>
      <c r="G614" s="11"/>
      <c r="H614" s="11"/>
      <c r="I614" s="11"/>
    </row>
    <row r="615" spans="4:9" ht="14.25" customHeight="1" x14ac:dyDescent="0.2">
      <c r="D615" s="34"/>
      <c r="F615" s="11"/>
      <c r="G615" s="11"/>
      <c r="H615" s="11"/>
      <c r="I615" s="11"/>
    </row>
    <row r="616" spans="4:9" ht="14.25" customHeight="1" x14ac:dyDescent="0.2">
      <c r="D616" s="34"/>
      <c r="F616" s="11"/>
      <c r="G616" s="11"/>
      <c r="H616" s="11"/>
      <c r="I616" s="11"/>
    </row>
    <row r="617" spans="4:9" ht="14.25" customHeight="1" x14ac:dyDescent="0.2">
      <c r="D617" s="34"/>
      <c r="F617" s="11"/>
      <c r="G617" s="11"/>
      <c r="H617" s="11"/>
      <c r="I617" s="11"/>
    </row>
    <row r="618" spans="4:9" ht="14.25" customHeight="1" x14ac:dyDescent="0.2">
      <c r="D618" s="34"/>
      <c r="F618" s="11"/>
      <c r="G618" s="11"/>
      <c r="H618" s="11"/>
      <c r="I618" s="11"/>
    </row>
    <row r="619" spans="4:9" ht="14.25" customHeight="1" x14ac:dyDescent="0.2">
      <c r="D619" s="34"/>
      <c r="F619" s="11"/>
      <c r="G619" s="11"/>
      <c r="H619" s="11"/>
      <c r="I619" s="11"/>
    </row>
    <row r="620" spans="4:9" ht="14.25" customHeight="1" x14ac:dyDescent="0.2">
      <c r="D620" s="34"/>
      <c r="F620" s="11"/>
      <c r="G620" s="11"/>
      <c r="H620" s="11"/>
      <c r="I620" s="11"/>
    </row>
    <row r="621" spans="4:9" ht="14.25" customHeight="1" x14ac:dyDescent="0.2">
      <c r="D621" s="34"/>
      <c r="F621" s="11"/>
      <c r="G621" s="11"/>
      <c r="H621" s="11"/>
      <c r="I621" s="11"/>
    </row>
    <row r="622" spans="4:9" ht="14.25" customHeight="1" x14ac:dyDescent="0.2">
      <c r="D622" s="34"/>
      <c r="F622" s="11"/>
      <c r="G622" s="11"/>
      <c r="H622" s="11"/>
      <c r="I622" s="11"/>
    </row>
    <row r="623" spans="4:9" ht="14.25" customHeight="1" x14ac:dyDescent="0.2">
      <c r="D623" s="34"/>
      <c r="F623" s="11"/>
      <c r="G623" s="11"/>
      <c r="H623" s="11"/>
      <c r="I623" s="11"/>
    </row>
    <row r="624" spans="4:9" ht="14.25" customHeight="1" x14ac:dyDescent="0.2">
      <c r="D624" s="34"/>
      <c r="F624" s="11"/>
      <c r="G624" s="11"/>
      <c r="H624" s="11"/>
      <c r="I624" s="11"/>
    </row>
    <row r="625" spans="4:9" ht="14.25" customHeight="1" x14ac:dyDescent="0.2">
      <c r="D625" s="34"/>
      <c r="F625" s="11"/>
      <c r="G625" s="11"/>
      <c r="H625" s="11"/>
      <c r="I625" s="11"/>
    </row>
    <row r="626" spans="4:9" ht="14.25" customHeight="1" x14ac:dyDescent="0.2">
      <c r="D626" s="34"/>
      <c r="F626" s="11"/>
      <c r="G626" s="11"/>
      <c r="H626" s="11"/>
      <c r="I626" s="11"/>
    </row>
    <row r="627" spans="4:9" ht="14.25" customHeight="1" x14ac:dyDescent="0.2">
      <c r="D627" s="34"/>
      <c r="F627" s="11"/>
      <c r="G627" s="11"/>
      <c r="H627" s="11"/>
      <c r="I627" s="11"/>
    </row>
    <row r="628" spans="4:9" ht="14.25" customHeight="1" x14ac:dyDescent="0.2">
      <c r="D628" s="34"/>
      <c r="F628" s="11"/>
      <c r="G628" s="11"/>
      <c r="H628" s="11"/>
      <c r="I628" s="11"/>
    </row>
    <row r="629" spans="4:9" ht="14.25" customHeight="1" x14ac:dyDescent="0.2">
      <c r="D629" s="34"/>
      <c r="F629" s="11"/>
      <c r="G629" s="11"/>
      <c r="H629" s="11"/>
      <c r="I629" s="11"/>
    </row>
    <row r="630" spans="4:9" ht="14.25" customHeight="1" x14ac:dyDescent="0.2">
      <c r="D630" s="34"/>
      <c r="F630" s="11"/>
      <c r="G630" s="11"/>
      <c r="H630" s="11"/>
      <c r="I630" s="11"/>
    </row>
    <row r="631" spans="4:9" ht="14.25" customHeight="1" x14ac:dyDescent="0.2">
      <c r="D631" s="34"/>
      <c r="F631" s="11"/>
      <c r="G631" s="11"/>
      <c r="H631" s="11"/>
      <c r="I631" s="11"/>
    </row>
    <row r="632" spans="4:9" ht="14.25" customHeight="1" x14ac:dyDescent="0.2">
      <c r="D632" s="34"/>
      <c r="F632" s="11"/>
      <c r="G632" s="11"/>
      <c r="H632" s="11"/>
      <c r="I632" s="11"/>
    </row>
    <row r="633" spans="4:9" ht="14.25" customHeight="1" x14ac:dyDescent="0.2">
      <c r="D633" s="34"/>
      <c r="F633" s="11"/>
      <c r="G633" s="11"/>
      <c r="H633" s="11"/>
      <c r="I633" s="11"/>
    </row>
    <row r="634" spans="4:9" ht="14.25" customHeight="1" x14ac:dyDescent="0.2">
      <c r="D634" s="34"/>
      <c r="F634" s="11"/>
      <c r="G634" s="11"/>
      <c r="H634" s="11"/>
      <c r="I634" s="11"/>
    </row>
    <row r="635" spans="4:9" ht="14.25" customHeight="1" x14ac:dyDescent="0.2">
      <c r="D635" s="34"/>
      <c r="F635" s="11"/>
      <c r="G635" s="11"/>
      <c r="H635" s="11"/>
      <c r="I635" s="11"/>
    </row>
    <row r="636" spans="4:9" ht="14.25" customHeight="1" x14ac:dyDescent="0.2">
      <c r="D636" s="34"/>
      <c r="F636" s="11"/>
      <c r="G636" s="11"/>
      <c r="H636" s="11"/>
      <c r="I636" s="11"/>
    </row>
    <row r="637" spans="4:9" ht="14.25" customHeight="1" x14ac:dyDescent="0.2">
      <c r="D637" s="34"/>
      <c r="F637" s="11"/>
      <c r="G637" s="11"/>
      <c r="H637" s="11"/>
      <c r="I637" s="11"/>
    </row>
    <row r="638" spans="4:9" ht="14.25" customHeight="1" x14ac:dyDescent="0.2">
      <c r="D638" s="34"/>
      <c r="F638" s="11"/>
      <c r="G638" s="11"/>
      <c r="H638" s="11"/>
      <c r="I638" s="11"/>
    </row>
    <row r="639" spans="4:9" ht="14.25" customHeight="1" x14ac:dyDescent="0.2">
      <c r="D639" s="34"/>
      <c r="F639" s="11"/>
      <c r="G639" s="11"/>
      <c r="H639" s="11"/>
      <c r="I639" s="11"/>
    </row>
    <row r="640" spans="4:9" ht="14.25" customHeight="1" x14ac:dyDescent="0.2">
      <c r="D640" s="34"/>
      <c r="F640" s="11"/>
      <c r="G640" s="11"/>
      <c r="H640" s="11"/>
      <c r="I640" s="11"/>
    </row>
    <row r="641" spans="4:9" ht="14.25" customHeight="1" x14ac:dyDescent="0.2">
      <c r="D641" s="34"/>
      <c r="F641" s="11"/>
      <c r="G641" s="11"/>
      <c r="H641" s="11"/>
      <c r="I641" s="11"/>
    </row>
    <row r="642" spans="4:9" ht="14.25" customHeight="1" x14ac:dyDescent="0.2">
      <c r="D642" s="34"/>
      <c r="F642" s="11"/>
      <c r="G642" s="11"/>
      <c r="H642" s="11"/>
      <c r="I642" s="11"/>
    </row>
    <row r="643" spans="4:9" ht="14.25" customHeight="1" x14ac:dyDescent="0.2">
      <c r="D643" s="34"/>
      <c r="F643" s="11"/>
      <c r="G643" s="11"/>
      <c r="H643" s="11"/>
      <c r="I643" s="11"/>
    </row>
    <row r="644" spans="4:9" ht="14.25" customHeight="1" x14ac:dyDescent="0.2">
      <c r="D644" s="34"/>
      <c r="F644" s="11"/>
      <c r="G644" s="11"/>
      <c r="H644" s="11"/>
      <c r="I644" s="11"/>
    </row>
    <row r="645" spans="4:9" ht="14.25" customHeight="1" x14ac:dyDescent="0.2">
      <c r="D645" s="34"/>
      <c r="F645" s="11"/>
      <c r="G645" s="11"/>
      <c r="H645" s="11"/>
      <c r="I645" s="11"/>
    </row>
    <row r="646" spans="4:9" ht="14.25" customHeight="1" x14ac:dyDescent="0.2">
      <c r="D646" s="34"/>
      <c r="F646" s="11"/>
      <c r="G646" s="11"/>
      <c r="H646" s="11"/>
      <c r="I646" s="11"/>
    </row>
    <row r="647" spans="4:9" ht="14.25" customHeight="1" x14ac:dyDescent="0.2">
      <c r="D647" s="34"/>
      <c r="F647" s="11"/>
      <c r="G647" s="11"/>
      <c r="H647" s="11"/>
      <c r="I647" s="11"/>
    </row>
    <row r="648" spans="4:9" ht="14.25" customHeight="1" x14ac:dyDescent="0.2">
      <c r="D648" s="34"/>
      <c r="F648" s="11"/>
      <c r="G648" s="11"/>
      <c r="H648" s="11"/>
      <c r="I648" s="11"/>
    </row>
    <row r="649" spans="4:9" ht="14.25" customHeight="1" x14ac:dyDescent="0.2">
      <c r="D649" s="34"/>
      <c r="F649" s="11"/>
      <c r="G649" s="11"/>
      <c r="H649" s="11"/>
      <c r="I649" s="11"/>
    </row>
    <row r="650" spans="4:9" ht="14.25" customHeight="1" x14ac:dyDescent="0.2">
      <c r="D650" s="34"/>
      <c r="F650" s="11"/>
      <c r="G650" s="11"/>
      <c r="H650" s="11"/>
      <c r="I650" s="11"/>
    </row>
    <row r="651" spans="4:9" ht="14.25" customHeight="1" x14ac:dyDescent="0.2">
      <c r="D651" s="34"/>
      <c r="F651" s="11"/>
      <c r="G651" s="11"/>
      <c r="H651" s="11"/>
      <c r="I651" s="11"/>
    </row>
    <row r="652" spans="4:9" ht="14.25" customHeight="1" x14ac:dyDescent="0.2">
      <c r="D652" s="34"/>
      <c r="F652" s="11"/>
      <c r="G652" s="11"/>
      <c r="H652" s="11"/>
      <c r="I652" s="11"/>
    </row>
    <row r="653" spans="4:9" ht="14.25" customHeight="1" x14ac:dyDescent="0.2">
      <c r="D653" s="34"/>
      <c r="F653" s="11"/>
      <c r="G653" s="11"/>
      <c r="H653" s="11"/>
      <c r="I653" s="11"/>
    </row>
    <row r="654" spans="4:9" ht="14.25" customHeight="1" x14ac:dyDescent="0.2">
      <c r="D654" s="34"/>
      <c r="F654" s="11"/>
      <c r="G654" s="11"/>
      <c r="H654" s="11"/>
      <c r="I654" s="11"/>
    </row>
    <row r="655" spans="4:9" ht="14.25" customHeight="1" x14ac:dyDescent="0.2">
      <c r="D655" s="34"/>
      <c r="F655" s="11"/>
      <c r="G655" s="11"/>
      <c r="H655" s="11"/>
      <c r="I655" s="11"/>
    </row>
    <row r="656" spans="4:9" ht="14.25" customHeight="1" x14ac:dyDescent="0.2">
      <c r="D656" s="34"/>
      <c r="F656" s="11"/>
      <c r="G656" s="11"/>
      <c r="H656" s="11"/>
      <c r="I656" s="11"/>
    </row>
    <row r="657" spans="4:9" ht="14.25" customHeight="1" x14ac:dyDescent="0.2">
      <c r="D657" s="34"/>
      <c r="F657" s="11"/>
      <c r="G657" s="11"/>
      <c r="H657" s="11"/>
      <c r="I657" s="11"/>
    </row>
    <row r="658" spans="4:9" ht="14.25" customHeight="1" x14ac:dyDescent="0.2">
      <c r="D658" s="34"/>
      <c r="F658" s="11"/>
      <c r="G658" s="11"/>
      <c r="H658" s="11"/>
      <c r="I658" s="11"/>
    </row>
    <row r="659" spans="4:9" ht="14.25" customHeight="1" x14ac:dyDescent="0.2">
      <c r="D659" s="34"/>
      <c r="F659" s="11"/>
      <c r="G659" s="11"/>
      <c r="H659" s="11"/>
      <c r="I659" s="11"/>
    </row>
    <row r="660" spans="4:9" ht="14.25" customHeight="1" x14ac:dyDescent="0.2">
      <c r="D660" s="34"/>
      <c r="F660" s="11"/>
      <c r="G660" s="11"/>
      <c r="H660" s="11"/>
      <c r="I660" s="11"/>
    </row>
    <row r="661" spans="4:9" ht="14.25" customHeight="1" x14ac:dyDescent="0.2">
      <c r="D661" s="34"/>
      <c r="F661" s="11"/>
      <c r="G661" s="11"/>
      <c r="H661" s="11"/>
      <c r="I661" s="11"/>
    </row>
    <row r="662" spans="4:9" ht="14.25" customHeight="1" x14ac:dyDescent="0.2">
      <c r="D662" s="34"/>
      <c r="F662" s="11"/>
      <c r="G662" s="11"/>
      <c r="H662" s="11"/>
      <c r="I662" s="11"/>
    </row>
    <row r="663" spans="4:9" ht="14.25" customHeight="1" x14ac:dyDescent="0.2">
      <c r="D663" s="34"/>
      <c r="F663" s="11"/>
      <c r="G663" s="11"/>
      <c r="H663" s="11"/>
      <c r="I663" s="11"/>
    </row>
    <row r="664" spans="4:9" ht="14.25" customHeight="1" x14ac:dyDescent="0.2">
      <c r="D664" s="34"/>
      <c r="F664" s="11"/>
      <c r="G664" s="11"/>
      <c r="H664" s="11"/>
      <c r="I664" s="11"/>
    </row>
    <row r="665" spans="4:9" ht="14.25" customHeight="1" x14ac:dyDescent="0.2">
      <c r="D665" s="34"/>
      <c r="F665" s="11"/>
      <c r="G665" s="11"/>
      <c r="H665" s="11"/>
      <c r="I665" s="11"/>
    </row>
    <row r="666" spans="4:9" ht="14.25" customHeight="1" x14ac:dyDescent="0.2">
      <c r="D666" s="34"/>
      <c r="F666" s="11"/>
      <c r="G666" s="11"/>
      <c r="H666" s="11"/>
      <c r="I666" s="11"/>
    </row>
    <row r="667" spans="4:9" ht="14.25" customHeight="1" x14ac:dyDescent="0.2">
      <c r="D667" s="34"/>
      <c r="F667" s="11"/>
      <c r="G667" s="11"/>
      <c r="H667" s="11"/>
      <c r="I667" s="11"/>
    </row>
    <row r="668" spans="4:9" ht="14.25" customHeight="1" x14ac:dyDescent="0.2">
      <c r="D668" s="34"/>
      <c r="F668" s="11"/>
      <c r="G668" s="11"/>
      <c r="H668" s="11"/>
      <c r="I668" s="11"/>
    </row>
    <row r="669" spans="4:9" ht="14.25" customHeight="1" x14ac:dyDescent="0.2">
      <c r="D669" s="34"/>
      <c r="F669" s="11"/>
      <c r="G669" s="11"/>
      <c r="H669" s="11"/>
      <c r="I669" s="11"/>
    </row>
    <row r="670" spans="4:9" ht="14.25" customHeight="1" x14ac:dyDescent="0.2">
      <c r="D670" s="34"/>
      <c r="F670" s="11"/>
      <c r="G670" s="11"/>
      <c r="H670" s="11"/>
      <c r="I670" s="11"/>
    </row>
    <row r="671" spans="4:9" ht="14.25" customHeight="1" x14ac:dyDescent="0.2">
      <c r="D671" s="34"/>
      <c r="F671" s="11"/>
      <c r="G671" s="11"/>
      <c r="H671" s="11"/>
      <c r="I671" s="11"/>
    </row>
    <row r="672" spans="4:9" ht="14.25" customHeight="1" x14ac:dyDescent="0.2">
      <c r="D672" s="34"/>
      <c r="F672" s="11"/>
      <c r="G672" s="11"/>
      <c r="H672" s="11"/>
      <c r="I672" s="11"/>
    </row>
    <row r="673" spans="4:9" ht="14.25" customHeight="1" x14ac:dyDescent="0.2">
      <c r="D673" s="34"/>
      <c r="F673" s="11"/>
      <c r="G673" s="11"/>
      <c r="H673" s="11"/>
      <c r="I673" s="11"/>
    </row>
    <row r="674" spans="4:9" ht="14.25" customHeight="1" x14ac:dyDescent="0.2">
      <c r="D674" s="34"/>
      <c r="F674" s="11"/>
      <c r="G674" s="11"/>
      <c r="H674" s="11"/>
      <c r="I674" s="11"/>
    </row>
    <row r="675" spans="4:9" ht="14.25" customHeight="1" x14ac:dyDescent="0.2">
      <c r="D675" s="34"/>
      <c r="F675" s="11"/>
      <c r="G675" s="11"/>
      <c r="H675" s="11"/>
      <c r="I675" s="11"/>
    </row>
    <row r="676" spans="4:9" ht="14.25" customHeight="1" x14ac:dyDescent="0.2">
      <c r="D676" s="34"/>
      <c r="F676" s="11"/>
      <c r="G676" s="11"/>
      <c r="H676" s="11"/>
      <c r="I676" s="11"/>
    </row>
    <row r="677" spans="4:9" ht="14.25" customHeight="1" x14ac:dyDescent="0.2">
      <c r="D677" s="34"/>
      <c r="F677" s="11"/>
      <c r="G677" s="11"/>
      <c r="H677" s="11"/>
      <c r="I677" s="11"/>
    </row>
    <row r="678" spans="4:9" ht="14.25" customHeight="1" x14ac:dyDescent="0.2">
      <c r="D678" s="34"/>
      <c r="F678" s="11"/>
      <c r="G678" s="11"/>
      <c r="H678" s="11"/>
      <c r="I678" s="11"/>
    </row>
    <row r="679" spans="4:9" ht="14.25" customHeight="1" x14ac:dyDescent="0.2">
      <c r="D679" s="34"/>
      <c r="F679" s="11"/>
      <c r="G679" s="11"/>
      <c r="H679" s="11"/>
      <c r="I679" s="11"/>
    </row>
    <row r="680" spans="4:9" ht="14.25" customHeight="1" x14ac:dyDescent="0.2">
      <c r="D680" s="34"/>
      <c r="F680" s="11"/>
      <c r="G680" s="11"/>
      <c r="H680" s="11"/>
      <c r="I680" s="11"/>
    </row>
    <row r="681" spans="4:9" ht="14.25" customHeight="1" x14ac:dyDescent="0.2">
      <c r="D681" s="34"/>
      <c r="F681" s="11"/>
      <c r="G681" s="11"/>
      <c r="H681" s="11"/>
      <c r="I681" s="11"/>
    </row>
    <row r="682" spans="4:9" ht="14.25" customHeight="1" x14ac:dyDescent="0.2">
      <c r="D682" s="34"/>
      <c r="F682" s="11"/>
      <c r="G682" s="11"/>
      <c r="H682" s="11"/>
      <c r="I682" s="11"/>
    </row>
    <row r="683" spans="4:9" ht="14.25" customHeight="1" x14ac:dyDescent="0.2">
      <c r="D683" s="34"/>
      <c r="F683" s="11"/>
      <c r="G683" s="11"/>
      <c r="H683" s="11"/>
      <c r="I683" s="11"/>
    </row>
    <row r="684" spans="4:9" ht="14.25" customHeight="1" x14ac:dyDescent="0.2">
      <c r="D684" s="34"/>
      <c r="F684" s="11"/>
      <c r="G684" s="11"/>
      <c r="H684" s="11"/>
      <c r="I684" s="11"/>
    </row>
    <row r="685" spans="4:9" ht="14.25" customHeight="1" x14ac:dyDescent="0.2">
      <c r="D685" s="34"/>
      <c r="F685" s="11"/>
      <c r="G685" s="11"/>
      <c r="H685" s="11"/>
      <c r="I685" s="11"/>
    </row>
    <row r="686" spans="4:9" ht="14.25" customHeight="1" x14ac:dyDescent="0.2">
      <c r="D686" s="34"/>
      <c r="F686" s="11"/>
      <c r="G686" s="11"/>
      <c r="H686" s="11"/>
      <c r="I686" s="11"/>
    </row>
    <row r="687" spans="4:9" ht="14.25" customHeight="1" x14ac:dyDescent="0.2">
      <c r="D687" s="34"/>
      <c r="F687" s="11"/>
      <c r="G687" s="11"/>
      <c r="H687" s="11"/>
      <c r="I687" s="11"/>
    </row>
    <row r="688" spans="4:9" ht="14.25" customHeight="1" x14ac:dyDescent="0.2">
      <c r="D688" s="34"/>
      <c r="F688" s="11"/>
      <c r="G688" s="11"/>
      <c r="H688" s="11"/>
      <c r="I688" s="11"/>
    </row>
    <row r="689" spans="4:9" ht="14.25" customHeight="1" x14ac:dyDescent="0.2">
      <c r="D689" s="34"/>
      <c r="F689" s="11"/>
      <c r="G689" s="11"/>
      <c r="H689" s="11"/>
      <c r="I689" s="11"/>
    </row>
    <row r="690" spans="4:9" ht="14.25" customHeight="1" x14ac:dyDescent="0.2">
      <c r="D690" s="34"/>
      <c r="F690" s="11"/>
      <c r="G690" s="11"/>
      <c r="H690" s="11"/>
      <c r="I690" s="11"/>
    </row>
    <row r="691" spans="4:9" ht="14.25" customHeight="1" x14ac:dyDescent="0.2">
      <c r="D691" s="34"/>
      <c r="F691" s="11"/>
      <c r="G691" s="11"/>
      <c r="H691" s="11"/>
      <c r="I691" s="11"/>
    </row>
    <row r="692" spans="4:9" ht="14.25" customHeight="1" x14ac:dyDescent="0.2">
      <c r="D692" s="34"/>
      <c r="F692" s="11"/>
      <c r="G692" s="11"/>
      <c r="H692" s="11"/>
      <c r="I692" s="11"/>
    </row>
    <row r="693" spans="4:9" ht="14.25" customHeight="1" x14ac:dyDescent="0.2">
      <c r="D693" s="34"/>
      <c r="F693" s="11"/>
      <c r="G693" s="11"/>
      <c r="H693" s="11"/>
      <c r="I693" s="11"/>
    </row>
    <row r="694" spans="4:9" ht="14.25" customHeight="1" x14ac:dyDescent="0.2">
      <c r="D694" s="34"/>
      <c r="F694" s="11"/>
      <c r="G694" s="11"/>
      <c r="H694" s="11"/>
      <c r="I694" s="11"/>
    </row>
    <row r="695" spans="4:9" ht="14.25" customHeight="1" x14ac:dyDescent="0.2">
      <c r="D695" s="34"/>
      <c r="F695" s="11"/>
      <c r="G695" s="11"/>
      <c r="H695" s="11"/>
      <c r="I695" s="11"/>
    </row>
    <row r="696" spans="4:9" ht="14.25" customHeight="1" x14ac:dyDescent="0.2">
      <c r="D696" s="34"/>
      <c r="F696" s="11"/>
      <c r="G696" s="11"/>
      <c r="H696" s="11"/>
      <c r="I696" s="11"/>
    </row>
    <row r="697" spans="4:9" ht="14.25" customHeight="1" x14ac:dyDescent="0.2">
      <c r="D697" s="34"/>
      <c r="F697" s="11"/>
      <c r="G697" s="11"/>
      <c r="H697" s="11"/>
      <c r="I697" s="11"/>
    </row>
    <row r="698" spans="4:9" ht="14.25" customHeight="1" x14ac:dyDescent="0.2">
      <c r="D698" s="34"/>
      <c r="F698" s="11"/>
      <c r="G698" s="11"/>
      <c r="H698" s="11"/>
      <c r="I698" s="11"/>
    </row>
    <row r="699" spans="4:9" ht="14.25" customHeight="1" x14ac:dyDescent="0.2">
      <c r="D699" s="34"/>
      <c r="F699" s="11"/>
      <c r="G699" s="11"/>
      <c r="H699" s="11"/>
      <c r="I699" s="11"/>
    </row>
    <row r="700" spans="4:9" ht="14.25" customHeight="1" x14ac:dyDescent="0.2">
      <c r="D700" s="34"/>
      <c r="F700" s="11"/>
      <c r="G700" s="11"/>
      <c r="H700" s="11"/>
      <c r="I700" s="11"/>
    </row>
    <row r="701" spans="4:9" ht="14.25" customHeight="1" x14ac:dyDescent="0.2">
      <c r="D701" s="34"/>
      <c r="F701" s="11"/>
      <c r="G701" s="11"/>
      <c r="H701" s="11"/>
      <c r="I701" s="11"/>
    </row>
    <row r="702" spans="4:9" ht="14.25" customHeight="1" x14ac:dyDescent="0.2">
      <c r="D702" s="34"/>
      <c r="F702" s="11"/>
      <c r="G702" s="11"/>
      <c r="H702" s="11"/>
      <c r="I702" s="11"/>
    </row>
    <row r="703" spans="4:9" ht="14.25" customHeight="1" x14ac:dyDescent="0.2">
      <c r="D703" s="34"/>
      <c r="F703" s="11"/>
      <c r="G703" s="11"/>
      <c r="H703" s="11"/>
      <c r="I703" s="11"/>
    </row>
    <row r="704" spans="4:9" ht="14.25" customHeight="1" x14ac:dyDescent="0.2">
      <c r="D704" s="34"/>
      <c r="F704" s="11"/>
      <c r="G704" s="11"/>
      <c r="H704" s="11"/>
      <c r="I704" s="11"/>
    </row>
    <row r="705" spans="4:9" ht="14.25" customHeight="1" x14ac:dyDescent="0.2">
      <c r="D705" s="34"/>
      <c r="F705" s="11"/>
      <c r="G705" s="11"/>
      <c r="H705" s="11"/>
      <c r="I705" s="11"/>
    </row>
    <row r="706" spans="4:9" ht="14.25" customHeight="1" x14ac:dyDescent="0.2">
      <c r="D706" s="34"/>
      <c r="F706" s="11"/>
      <c r="G706" s="11"/>
      <c r="H706" s="11"/>
      <c r="I706" s="11"/>
    </row>
    <row r="707" spans="4:9" ht="14.25" customHeight="1" x14ac:dyDescent="0.2">
      <c r="D707" s="34"/>
      <c r="F707" s="11"/>
      <c r="G707" s="11"/>
      <c r="H707" s="11"/>
      <c r="I707" s="11"/>
    </row>
    <row r="708" spans="4:9" ht="14.25" customHeight="1" x14ac:dyDescent="0.2">
      <c r="D708" s="34"/>
      <c r="F708" s="11"/>
      <c r="G708" s="11"/>
      <c r="H708" s="11"/>
      <c r="I708" s="11"/>
    </row>
    <row r="709" spans="4:9" ht="14.25" customHeight="1" x14ac:dyDescent="0.2">
      <c r="D709" s="34"/>
      <c r="F709" s="11"/>
      <c r="G709" s="11"/>
      <c r="H709" s="11"/>
      <c r="I709" s="11"/>
    </row>
    <row r="710" spans="4:9" ht="14.25" customHeight="1" x14ac:dyDescent="0.2">
      <c r="D710" s="34"/>
      <c r="F710" s="11"/>
      <c r="G710" s="11"/>
      <c r="H710" s="11"/>
      <c r="I710" s="11"/>
    </row>
    <row r="711" spans="4:9" ht="14.25" customHeight="1" x14ac:dyDescent="0.2">
      <c r="D711" s="34"/>
      <c r="F711" s="11"/>
      <c r="G711" s="11"/>
      <c r="H711" s="11"/>
      <c r="I711" s="11"/>
    </row>
    <row r="712" spans="4:9" ht="14.25" customHeight="1" x14ac:dyDescent="0.2">
      <c r="D712" s="34"/>
      <c r="F712" s="11"/>
      <c r="G712" s="11"/>
      <c r="H712" s="11"/>
      <c r="I712" s="11"/>
    </row>
    <row r="713" spans="4:9" ht="14.25" customHeight="1" x14ac:dyDescent="0.2">
      <c r="D713" s="34"/>
      <c r="F713" s="11"/>
      <c r="G713" s="11"/>
      <c r="H713" s="11"/>
      <c r="I713" s="11"/>
    </row>
    <row r="714" spans="4:9" ht="14.25" customHeight="1" x14ac:dyDescent="0.2">
      <c r="D714" s="34"/>
      <c r="F714" s="11"/>
      <c r="G714" s="11"/>
      <c r="H714" s="11"/>
      <c r="I714" s="11"/>
    </row>
    <row r="715" spans="4:9" ht="14.25" customHeight="1" x14ac:dyDescent="0.2">
      <c r="D715" s="34"/>
      <c r="F715" s="11"/>
      <c r="G715" s="11"/>
      <c r="H715" s="11"/>
      <c r="I715" s="11"/>
    </row>
    <row r="716" spans="4:9" ht="14.25" customHeight="1" x14ac:dyDescent="0.2">
      <c r="D716" s="34"/>
      <c r="F716" s="11"/>
      <c r="G716" s="11"/>
      <c r="H716" s="11"/>
      <c r="I716" s="11"/>
    </row>
    <row r="717" spans="4:9" ht="14.25" customHeight="1" x14ac:dyDescent="0.2">
      <c r="D717" s="34"/>
      <c r="F717" s="11"/>
      <c r="G717" s="11"/>
      <c r="H717" s="11"/>
      <c r="I717" s="11"/>
    </row>
    <row r="718" spans="4:9" ht="14.25" customHeight="1" x14ac:dyDescent="0.2">
      <c r="D718" s="34"/>
      <c r="F718" s="11"/>
      <c r="G718" s="11"/>
      <c r="H718" s="11"/>
      <c r="I718" s="11"/>
    </row>
    <row r="719" spans="4:9" ht="14.25" customHeight="1" x14ac:dyDescent="0.2">
      <c r="D719" s="34"/>
      <c r="F719" s="11"/>
      <c r="G719" s="11"/>
      <c r="H719" s="11"/>
      <c r="I719" s="11"/>
    </row>
    <row r="720" spans="4:9" ht="14.25" customHeight="1" x14ac:dyDescent="0.2">
      <c r="D720" s="34"/>
      <c r="F720" s="11"/>
      <c r="G720" s="11"/>
      <c r="H720" s="11"/>
      <c r="I720" s="11"/>
    </row>
    <row r="721" spans="4:9" ht="14.25" customHeight="1" x14ac:dyDescent="0.2">
      <c r="D721" s="34"/>
      <c r="F721" s="11"/>
      <c r="G721" s="11"/>
      <c r="H721" s="11"/>
      <c r="I721" s="11"/>
    </row>
    <row r="722" spans="4:9" ht="14.25" customHeight="1" x14ac:dyDescent="0.2">
      <c r="D722" s="34"/>
      <c r="F722" s="11"/>
      <c r="G722" s="11"/>
      <c r="H722" s="11"/>
      <c r="I722" s="11"/>
    </row>
    <row r="723" spans="4:9" ht="14.25" customHeight="1" x14ac:dyDescent="0.2">
      <c r="D723" s="34"/>
      <c r="F723" s="11"/>
      <c r="G723" s="11"/>
      <c r="H723" s="11"/>
      <c r="I723" s="11"/>
    </row>
    <row r="724" spans="4:9" ht="14.25" customHeight="1" x14ac:dyDescent="0.2">
      <c r="D724" s="34"/>
      <c r="F724" s="11"/>
      <c r="G724" s="11"/>
      <c r="H724" s="11"/>
      <c r="I724" s="11"/>
    </row>
    <row r="725" spans="4:9" ht="14.25" customHeight="1" x14ac:dyDescent="0.2">
      <c r="D725" s="34"/>
      <c r="F725" s="11"/>
      <c r="G725" s="11"/>
      <c r="H725" s="11"/>
      <c r="I725" s="11"/>
    </row>
    <row r="726" spans="4:9" ht="14.25" customHeight="1" x14ac:dyDescent="0.2">
      <c r="D726" s="34"/>
      <c r="F726" s="11"/>
      <c r="G726" s="11"/>
      <c r="H726" s="11"/>
      <c r="I726" s="11"/>
    </row>
    <row r="727" spans="4:9" ht="14.25" customHeight="1" x14ac:dyDescent="0.2">
      <c r="D727" s="34"/>
      <c r="F727" s="11"/>
      <c r="G727" s="11"/>
      <c r="H727" s="11"/>
      <c r="I727" s="11"/>
    </row>
    <row r="728" spans="4:9" ht="14.25" customHeight="1" x14ac:dyDescent="0.2">
      <c r="D728" s="34"/>
      <c r="F728" s="11"/>
      <c r="G728" s="11"/>
      <c r="H728" s="11"/>
      <c r="I728" s="11"/>
    </row>
    <row r="729" spans="4:9" ht="14.25" customHeight="1" x14ac:dyDescent="0.2">
      <c r="D729" s="34"/>
      <c r="F729" s="11"/>
      <c r="G729" s="11"/>
      <c r="H729" s="11"/>
      <c r="I729" s="11"/>
    </row>
    <row r="730" spans="4:9" ht="14.25" customHeight="1" x14ac:dyDescent="0.2">
      <c r="D730" s="34"/>
      <c r="F730" s="11"/>
      <c r="G730" s="11"/>
      <c r="H730" s="11"/>
      <c r="I730" s="11"/>
    </row>
    <row r="731" spans="4:9" ht="14.25" customHeight="1" x14ac:dyDescent="0.2">
      <c r="D731" s="34"/>
      <c r="F731" s="11"/>
      <c r="G731" s="11"/>
      <c r="H731" s="11"/>
      <c r="I731" s="11"/>
    </row>
    <row r="732" spans="4:9" ht="14.25" customHeight="1" x14ac:dyDescent="0.2">
      <c r="D732" s="34"/>
      <c r="F732" s="11"/>
      <c r="G732" s="11"/>
      <c r="H732" s="11"/>
      <c r="I732" s="11"/>
    </row>
    <row r="733" spans="4:9" ht="14.25" customHeight="1" x14ac:dyDescent="0.2">
      <c r="D733" s="34"/>
      <c r="F733" s="11"/>
      <c r="G733" s="11"/>
      <c r="H733" s="11"/>
      <c r="I733" s="11"/>
    </row>
    <row r="734" spans="4:9" ht="14.25" customHeight="1" x14ac:dyDescent="0.2">
      <c r="D734" s="34"/>
      <c r="F734" s="11"/>
      <c r="G734" s="11"/>
      <c r="H734" s="11"/>
      <c r="I734" s="11"/>
    </row>
    <row r="735" spans="4:9" ht="14.25" customHeight="1" x14ac:dyDescent="0.2">
      <c r="D735" s="34"/>
      <c r="F735" s="11"/>
      <c r="G735" s="11"/>
      <c r="H735" s="11"/>
      <c r="I735" s="11"/>
    </row>
    <row r="736" spans="4:9" ht="14.25" customHeight="1" x14ac:dyDescent="0.2">
      <c r="D736" s="34"/>
      <c r="F736" s="11"/>
      <c r="G736" s="11"/>
      <c r="H736" s="11"/>
      <c r="I736" s="11"/>
    </row>
    <row r="737" spans="4:9" ht="14.25" customHeight="1" x14ac:dyDescent="0.2">
      <c r="D737" s="34"/>
      <c r="F737" s="11"/>
      <c r="G737" s="11"/>
      <c r="H737" s="11"/>
      <c r="I737" s="11"/>
    </row>
    <row r="738" spans="4:9" ht="14.25" customHeight="1" x14ac:dyDescent="0.2">
      <c r="D738" s="34"/>
      <c r="F738" s="11"/>
      <c r="G738" s="11"/>
      <c r="H738" s="11"/>
      <c r="I738" s="11"/>
    </row>
    <row r="739" spans="4:9" ht="14.25" customHeight="1" x14ac:dyDescent="0.2">
      <c r="D739" s="34"/>
      <c r="F739" s="11"/>
      <c r="G739" s="11"/>
      <c r="H739" s="11"/>
      <c r="I739" s="11"/>
    </row>
    <row r="740" spans="4:9" ht="14.25" customHeight="1" x14ac:dyDescent="0.2">
      <c r="D740" s="34"/>
      <c r="F740" s="11"/>
      <c r="G740" s="11"/>
      <c r="H740" s="11"/>
      <c r="I740" s="11"/>
    </row>
    <row r="741" spans="4:9" ht="14.25" customHeight="1" x14ac:dyDescent="0.2">
      <c r="D741" s="34"/>
      <c r="F741" s="11"/>
      <c r="G741" s="11"/>
      <c r="H741" s="11"/>
      <c r="I741" s="11"/>
    </row>
    <row r="742" spans="4:9" ht="14.25" customHeight="1" x14ac:dyDescent="0.2">
      <c r="D742" s="34"/>
      <c r="F742" s="11"/>
      <c r="G742" s="11"/>
      <c r="H742" s="11"/>
      <c r="I742" s="11"/>
    </row>
    <row r="743" spans="4:9" ht="14.25" customHeight="1" x14ac:dyDescent="0.2">
      <c r="D743" s="34"/>
      <c r="F743" s="11"/>
      <c r="G743" s="11"/>
      <c r="H743" s="11"/>
      <c r="I743" s="11"/>
    </row>
    <row r="744" spans="4:9" ht="14.25" customHeight="1" x14ac:dyDescent="0.2">
      <c r="D744" s="34"/>
      <c r="F744" s="11"/>
      <c r="G744" s="11"/>
      <c r="H744" s="11"/>
      <c r="I744" s="11"/>
    </row>
    <row r="745" spans="4:9" ht="14.25" customHeight="1" x14ac:dyDescent="0.2">
      <c r="D745" s="34"/>
      <c r="F745" s="11"/>
      <c r="G745" s="11"/>
      <c r="H745" s="11"/>
      <c r="I745" s="11"/>
    </row>
    <row r="746" spans="4:9" ht="14.25" customHeight="1" x14ac:dyDescent="0.2">
      <c r="D746" s="34"/>
      <c r="F746" s="11"/>
      <c r="G746" s="11"/>
      <c r="H746" s="11"/>
      <c r="I746" s="11"/>
    </row>
    <row r="747" spans="4:9" ht="14.25" customHeight="1" x14ac:dyDescent="0.2">
      <c r="D747" s="34"/>
      <c r="F747" s="11"/>
      <c r="G747" s="11"/>
      <c r="H747" s="11"/>
      <c r="I747" s="11"/>
    </row>
    <row r="748" spans="4:9" ht="14.25" customHeight="1" x14ac:dyDescent="0.2">
      <c r="D748" s="34"/>
      <c r="F748" s="11"/>
      <c r="G748" s="11"/>
      <c r="H748" s="11"/>
      <c r="I748" s="11"/>
    </row>
    <row r="749" spans="4:9" ht="14.25" customHeight="1" x14ac:dyDescent="0.2">
      <c r="D749" s="34"/>
      <c r="F749" s="11"/>
      <c r="G749" s="11"/>
      <c r="H749" s="11"/>
      <c r="I749" s="11"/>
    </row>
    <row r="750" spans="4:9" ht="14.25" customHeight="1" x14ac:dyDescent="0.2">
      <c r="D750" s="34"/>
      <c r="F750" s="11"/>
      <c r="G750" s="11"/>
      <c r="H750" s="11"/>
      <c r="I750" s="11"/>
    </row>
    <row r="751" spans="4:9" ht="14.25" customHeight="1" x14ac:dyDescent="0.2">
      <c r="D751" s="34"/>
      <c r="F751" s="11"/>
      <c r="G751" s="11"/>
      <c r="H751" s="11"/>
      <c r="I751" s="11"/>
    </row>
    <row r="752" spans="4:9" ht="14.25" customHeight="1" x14ac:dyDescent="0.2">
      <c r="D752" s="34"/>
      <c r="F752" s="11"/>
      <c r="G752" s="11"/>
      <c r="H752" s="11"/>
      <c r="I752" s="11"/>
    </row>
    <row r="753" spans="4:9" ht="14.25" customHeight="1" x14ac:dyDescent="0.2">
      <c r="D753" s="34"/>
      <c r="F753" s="11"/>
      <c r="G753" s="11"/>
      <c r="H753" s="11"/>
      <c r="I753" s="11"/>
    </row>
    <row r="754" spans="4:9" ht="14.25" customHeight="1" x14ac:dyDescent="0.2">
      <c r="D754" s="34"/>
      <c r="F754" s="11"/>
      <c r="G754" s="11"/>
      <c r="H754" s="11"/>
      <c r="I754" s="11"/>
    </row>
    <row r="755" spans="4:9" ht="14.25" customHeight="1" x14ac:dyDescent="0.2">
      <c r="D755" s="34"/>
      <c r="F755" s="11"/>
      <c r="G755" s="11"/>
      <c r="H755" s="11"/>
      <c r="I755" s="11"/>
    </row>
    <row r="756" spans="4:9" ht="14.25" customHeight="1" x14ac:dyDescent="0.2">
      <c r="D756" s="34"/>
      <c r="F756" s="11"/>
      <c r="G756" s="11"/>
      <c r="H756" s="11"/>
      <c r="I756" s="11"/>
    </row>
    <row r="757" spans="4:9" ht="14.25" customHeight="1" x14ac:dyDescent="0.2">
      <c r="D757" s="34"/>
      <c r="F757" s="11"/>
      <c r="G757" s="11"/>
      <c r="H757" s="11"/>
      <c r="I757" s="11"/>
    </row>
    <row r="758" spans="4:9" ht="14.25" customHeight="1" x14ac:dyDescent="0.2">
      <c r="D758" s="34"/>
      <c r="F758" s="11"/>
      <c r="G758" s="11"/>
      <c r="H758" s="11"/>
      <c r="I758" s="11"/>
    </row>
    <row r="759" spans="4:9" ht="14.25" customHeight="1" x14ac:dyDescent="0.2">
      <c r="D759" s="34"/>
      <c r="F759" s="11"/>
      <c r="G759" s="11"/>
      <c r="H759" s="11"/>
      <c r="I759" s="11"/>
    </row>
    <row r="760" spans="4:9" ht="14.25" customHeight="1" x14ac:dyDescent="0.2">
      <c r="D760" s="34"/>
      <c r="F760" s="11"/>
      <c r="G760" s="11"/>
      <c r="H760" s="11"/>
      <c r="I760" s="11"/>
    </row>
    <row r="761" spans="4:9" ht="14.25" customHeight="1" x14ac:dyDescent="0.2">
      <c r="D761" s="34"/>
      <c r="F761" s="11"/>
      <c r="G761" s="11"/>
      <c r="H761" s="11"/>
      <c r="I761" s="11"/>
    </row>
    <row r="762" spans="4:9" ht="14.25" customHeight="1" x14ac:dyDescent="0.2">
      <c r="D762" s="34"/>
      <c r="F762" s="11"/>
      <c r="G762" s="11"/>
      <c r="H762" s="11"/>
      <c r="I762" s="11"/>
    </row>
    <row r="763" spans="4:9" ht="14.25" customHeight="1" x14ac:dyDescent="0.2">
      <c r="D763" s="34"/>
      <c r="F763" s="11"/>
      <c r="G763" s="11"/>
      <c r="H763" s="11"/>
      <c r="I763" s="11"/>
    </row>
    <row r="764" spans="4:9" ht="14.25" customHeight="1" x14ac:dyDescent="0.2">
      <c r="D764" s="34"/>
      <c r="F764" s="11"/>
      <c r="G764" s="11"/>
      <c r="H764" s="11"/>
      <c r="I764" s="11"/>
    </row>
    <row r="765" spans="4:9" ht="14.25" customHeight="1" x14ac:dyDescent="0.2">
      <c r="D765" s="34"/>
      <c r="F765" s="11"/>
      <c r="G765" s="11"/>
      <c r="H765" s="11"/>
      <c r="I765" s="11"/>
    </row>
    <row r="766" spans="4:9" ht="14.25" customHeight="1" x14ac:dyDescent="0.2">
      <c r="D766" s="34"/>
      <c r="F766" s="11"/>
      <c r="G766" s="11"/>
      <c r="H766" s="11"/>
      <c r="I766" s="11"/>
    </row>
    <row r="767" spans="4:9" ht="14.25" customHeight="1" x14ac:dyDescent="0.2">
      <c r="D767" s="34"/>
      <c r="F767" s="11"/>
      <c r="G767" s="11"/>
      <c r="H767" s="11"/>
      <c r="I767" s="11"/>
    </row>
    <row r="768" spans="4:9" ht="14.25" customHeight="1" x14ac:dyDescent="0.2">
      <c r="D768" s="34"/>
      <c r="F768" s="11"/>
      <c r="G768" s="11"/>
      <c r="H768" s="11"/>
      <c r="I768" s="11"/>
    </row>
    <row r="769" spans="4:9" ht="14.25" customHeight="1" x14ac:dyDescent="0.2">
      <c r="D769" s="34"/>
      <c r="F769" s="11"/>
      <c r="G769" s="11"/>
      <c r="H769" s="11"/>
      <c r="I769" s="11"/>
    </row>
    <row r="770" spans="4:9" ht="14.25" customHeight="1" x14ac:dyDescent="0.2">
      <c r="D770" s="34"/>
      <c r="F770" s="11"/>
      <c r="G770" s="11"/>
      <c r="H770" s="11"/>
      <c r="I770" s="11"/>
    </row>
    <row r="771" spans="4:9" ht="14.25" customHeight="1" x14ac:dyDescent="0.2">
      <c r="D771" s="34"/>
      <c r="F771" s="11"/>
      <c r="G771" s="11"/>
      <c r="H771" s="11"/>
      <c r="I771" s="11"/>
    </row>
    <row r="772" spans="4:9" ht="14.25" customHeight="1" x14ac:dyDescent="0.2">
      <c r="D772" s="34"/>
      <c r="F772" s="11"/>
      <c r="G772" s="11"/>
      <c r="H772" s="11"/>
      <c r="I772" s="11"/>
    </row>
    <row r="773" spans="4:9" ht="14.25" customHeight="1" x14ac:dyDescent="0.2">
      <c r="D773" s="34"/>
      <c r="F773" s="11"/>
      <c r="G773" s="11"/>
      <c r="H773" s="11"/>
      <c r="I773" s="11"/>
    </row>
    <row r="774" spans="4:9" ht="14.25" customHeight="1" x14ac:dyDescent="0.2">
      <c r="D774" s="34"/>
      <c r="F774" s="11"/>
      <c r="G774" s="11"/>
      <c r="H774" s="11"/>
      <c r="I774" s="11"/>
    </row>
    <row r="775" spans="4:9" ht="14.25" customHeight="1" x14ac:dyDescent="0.2">
      <c r="D775" s="34"/>
      <c r="F775" s="11"/>
      <c r="G775" s="11"/>
      <c r="H775" s="11"/>
      <c r="I775" s="11"/>
    </row>
    <row r="776" spans="4:9" ht="14.25" customHeight="1" x14ac:dyDescent="0.2">
      <c r="D776" s="34"/>
      <c r="F776" s="11"/>
      <c r="G776" s="11"/>
      <c r="H776" s="11"/>
      <c r="I776" s="11"/>
    </row>
    <row r="777" spans="4:9" ht="14.25" customHeight="1" x14ac:dyDescent="0.2">
      <c r="D777" s="34"/>
      <c r="F777" s="11"/>
      <c r="G777" s="11"/>
      <c r="H777" s="11"/>
      <c r="I777" s="11"/>
    </row>
    <row r="778" spans="4:9" ht="14.25" customHeight="1" x14ac:dyDescent="0.2">
      <c r="D778" s="34"/>
      <c r="F778" s="11"/>
      <c r="G778" s="11"/>
      <c r="H778" s="11"/>
      <c r="I778" s="11"/>
    </row>
    <row r="779" spans="4:9" ht="14.25" customHeight="1" x14ac:dyDescent="0.2">
      <c r="D779" s="34"/>
      <c r="F779" s="11"/>
      <c r="G779" s="11"/>
      <c r="H779" s="11"/>
      <c r="I779" s="11"/>
    </row>
    <row r="780" spans="4:9" ht="14.25" customHeight="1" x14ac:dyDescent="0.2">
      <c r="D780" s="34"/>
      <c r="F780" s="11"/>
      <c r="G780" s="11"/>
      <c r="H780" s="11"/>
      <c r="I780" s="11"/>
    </row>
    <row r="781" spans="4:9" ht="14.25" customHeight="1" x14ac:dyDescent="0.2">
      <c r="D781" s="34"/>
      <c r="F781" s="11"/>
      <c r="G781" s="11"/>
      <c r="H781" s="11"/>
      <c r="I781" s="11"/>
    </row>
    <row r="782" spans="4:9" ht="14.25" customHeight="1" x14ac:dyDescent="0.2">
      <c r="D782" s="34"/>
      <c r="F782" s="11"/>
      <c r="G782" s="11"/>
      <c r="H782" s="11"/>
      <c r="I782" s="11"/>
    </row>
    <row r="783" spans="4:9" ht="14.25" customHeight="1" x14ac:dyDescent="0.2">
      <c r="D783" s="34"/>
      <c r="F783" s="11"/>
      <c r="G783" s="11"/>
      <c r="H783" s="11"/>
      <c r="I783" s="11"/>
    </row>
    <row r="784" spans="4:9" ht="14.25" customHeight="1" x14ac:dyDescent="0.2">
      <c r="D784" s="34"/>
      <c r="F784" s="11"/>
      <c r="G784" s="11"/>
      <c r="H784" s="11"/>
      <c r="I784" s="11"/>
    </row>
    <row r="785" spans="4:9" ht="14.25" customHeight="1" x14ac:dyDescent="0.2">
      <c r="D785" s="34"/>
      <c r="F785" s="11"/>
      <c r="G785" s="11"/>
      <c r="H785" s="11"/>
      <c r="I785" s="11"/>
    </row>
    <row r="786" spans="4:9" ht="14.25" customHeight="1" x14ac:dyDescent="0.2">
      <c r="D786" s="34"/>
      <c r="F786" s="11"/>
      <c r="G786" s="11"/>
      <c r="H786" s="11"/>
      <c r="I786" s="11"/>
    </row>
    <row r="787" spans="4:9" ht="14.25" customHeight="1" x14ac:dyDescent="0.2">
      <c r="D787" s="34"/>
      <c r="F787" s="11"/>
      <c r="G787" s="11"/>
      <c r="H787" s="11"/>
      <c r="I787" s="11"/>
    </row>
    <row r="788" spans="4:9" ht="14.25" customHeight="1" x14ac:dyDescent="0.2">
      <c r="D788" s="34"/>
      <c r="F788" s="11"/>
      <c r="G788" s="11"/>
      <c r="H788" s="11"/>
      <c r="I788" s="11"/>
    </row>
    <row r="789" spans="4:9" ht="14.25" customHeight="1" x14ac:dyDescent="0.2">
      <c r="D789" s="34"/>
      <c r="F789" s="11"/>
      <c r="G789" s="11"/>
      <c r="H789" s="11"/>
      <c r="I789" s="11"/>
    </row>
    <row r="790" spans="4:9" ht="14.25" customHeight="1" x14ac:dyDescent="0.2">
      <c r="D790" s="34"/>
      <c r="F790" s="11"/>
      <c r="G790" s="11"/>
      <c r="H790" s="11"/>
      <c r="I790" s="11"/>
    </row>
    <row r="791" spans="4:9" ht="14.25" customHeight="1" x14ac:dyDescent="0.2">
      <c r="D791" s="34"/>
      <c r="F791" s="11"/>
      <c r="G791" s="11"/>
      <c r="H791" s="11"/>
      <c r="I791" s="11"/>
    </row>
    <row r="792" spans="4:9" ht="14.25" customHeight="1" x14ac:dyDescent="0.2">
      <c r="D792" s="34"/>
      <c r="F792" s="11"/>
      <c r="G792" s="11"/>
      <c r="H792" s="11"/>
      <c r="I792" s="11"/>
    </row>
    <row r="793" spans="4:9" ht="14.25" customHeight="1" x14ac:dyDescent="0.2">
      <c r="D793" s="34"/>
      <c r="F793" s="11"/>
      <c r="G793" s="11"/>
      <c r="H793" s="11"/>
      <c r="I793" s="11"/>
    </row>
    <row r="794" spans="4:9" ht="14.25" customHeight="1" x14ac:dyDescent="0.2">
      <c r="D794" s="34"/>
      <c r="F794" s="11"/>
      <c r="G794" s="11"/>
      <c r="H794" s="11"/>
      <c r="I794" s="11"/>
    </row>
    <row r="795" spans="4:9" ht="14.25" customHeight="1" x14ac:dyDescent="0.2">
      <c r="D795" s="34"/>
      <c r="F795" s="11"/>
      <c r="G795" s="11"/>
      <c r="H795" s="11"/>
      <c r="I795" s="11"/>
    </row>
    <row r="796" spans="4:9" ht="14.25" customHeight="1" x14ac:dyDescent="0.2">
      <c r="D796" s="34"/>
      <c r="F796" s="11"/>
      <c r="G796" s="11"/>
      <c r="H796" s="11"/>
      <c r="I796" s="11"/>
    </row>
    <row r="797" spans="4:9" ht="14.25" customHeight="1" x14ac:dyDescent="0.2">
      <c r="D797" s="34"/>
      <c r="F797" s="11"/>
      <c r="G797" s="11"/>
      <c r="H797" s="11"/>
      <c r="I797" s="11"/>
    </row>
    <row r="798" spans="4:9" ht="14.25" customHeight="1" x14ac:dyDescent="0.2">
      <c r="D798" s="34"/>
      <c r="F798" s="11"/>
      <c r="G798" s="11"/>
      <c r="H798" s="11"/>
      <c r="I798" s="11"/>
    </row>
    <row r="799" spans="4:9" ht="14.25" customHeight="1" x14ac:dyDescent="0.2">
      <c r="D799" s="34"/>
      <c r="F799" s="11"/>
      <c r="G799" s="11"/>
      <c r="H799" s="11"/>
      <c r="I799" s="11"/>
    </row>
    <row r="800" spans="4:9" ht="14.25" customHeight="1" x14ac:dyDescent="0.2">
      <c r="D800" s="34"/>
      <c r="F800" s="11"/>
      <c r="G800" s="11"/>
      <c r="H800" s="11"/>
      <c r="I800" s="11"/>
    </row>
    <row r="801" spans="4:9" ht="14.25" customHeight="1" x14ac:dyDescent="0.2">
      <c r="D801" s="34"/>
      <c r="F801" s="11"/>
      <c r="G801" s="11"/>
      <c r="H801" s="11"/>
      <c r="I801" s="11"/>
    </row>
    <row r="802" spans="4:9" ht="14.25" customHeight="1" x14ac:dyDescent="0.2">
      <c r="D802" s="34"/>
      <c r="F802" s="11"/>
      <c r="G802" s="11"/>
      <c r="H802" s="11"/>
      <c r="I802" s="11"/>
    </row>
    <row r="803" spans="4:9" ht="14.25" customHeight="1" x14ac:dyDescent="0.2">
      <c r="D803" s="34"/>
      <c r="F803" s="11"/>
      <c r="G803" s="11"/>
      <c r="H803" s="11"/>
      <c r="I803" s="11"/>
    </row>
    <row r="804" spans="4:9" ht="14.25" customHeight="1" x14ac:dyDescent="0.2">
      <c r="D804" s="34"/>
      <c r="F804" s="11"/>
      <c r="G804" s="11"/>
      <c r="H804" s="11"/>
      <c r="I804" s="11"/>
    </row>
    <row r="805" spans="4:9" ht="14.25" customHeight="1" x14ac:dyDescent="0.2">
      <c r="D805" s="34"/>
      <c r="F805" s="11"/>
      <c r="G805" s="11"/>
      <c r="H805" s="11"/>
      <c r="I805" s="11"/>
    </row>
    <row r="806" spans="4:9" ht="14.25" customHeight="1" x14ac:dyDescent="0.2">
      <c r="D806" s="34"/>
      <c r="F806" s="11"/>
      <c r="G806" s="11"/>
      <c r="H806" s="11"/>
      <c r="I806" s="11"/>
    </row>
    <row r="807" spans="4:9" ht="14.25" customHeight="1" x14ac:dyDescent="0.2">
      <c r="D807" s="34"/>
      <c r="F807" s="11"/>
      <c r="G807" s="11"/>
      <c r="H807" s="11"/>
      <c r="I807" s="11"/>
    </row>
    <row r="808" spans="4:9" ht="14.25" customHeight="1" x14ac:dyDescent="0.2">
      <c r="D808" s="34"/>
      <c r="F808" s="11"/>
      <c r="G808" s="11"/>
      <c r="H808" s="11"/>
      <c r="I808" s="11"/>
    </row>
    <row r="809" spans="4:9" ht="14.25" customHeight="1" x14ac:dyDescent="0.2">
      <c r="D809" s="34"/>
      <c r="F809" s="11"/>
      <c r="G809" s="11"/>
      <c r="H809" s="11"/>
      <c r="I809" s="11"/>
    </row>
    <row r="810" spans="4:9" ht="14.25" customHeight="1" x14ac:dyDescent="0.2">
      <c r="D810" s="34"/>
      <c r="F810" s="11"/>
      <c r="G810" s="11"/>
      <c r="H810" s="11"/>
      <c r="I810" s="11"/>
    </row>
    <row r="811" spans="4:9" ht="14.25" customHeight="1" x14ac:dyDescent="0.2">
      <c r="D811" s="34"/>
      <c r="F811" s="11"/>
      <c r="G811" s="11"/>
      <c r="H811" s="11"/>
      <c r="I811" s="11"/>
    </row>
    <row r="812" spans="4:9" ht="14.25" customHeight="1" x14ac:dyDescent="0.2">
      <c r="D812" s="34"/>
      <c r="F812" s="11"/>
      <c r="G812" s="11"/>
      <c r="H812" s="11"/>
      <c r="I812" s="11"/>
    </row>
    <row r="813" spans="4:9" ht="14.25" customHeight="1" x14ac:dyDescent="0.2">
      <c r="D813" s="34"/>
      <c r="F813" s="11"/>
      <c r="G813" s="11"/>
      <c r="H813" s="11"/>
      <c r="I813" s="11"/>
    </row>
    <row r="814" spans="4:9" ht="14.25" customHeight="1" x14ac:dyDescent="0.2">
      <c r="D814" s="34"/>
      <c r="F814" s="11"/>
      <c r="G814" s="11"/>
      <c r="H814" s="11"/>
      <c r="I814" s="11"/>
    </row>
    <row r="815" spans="4:9" ht="14.25" customHeight="1" x14ac:dyDescent="0.2">
      <c r="D815" s="34"/>
      <c r="F815" s="11"/>
      <c r="G815" s="11"/>
      <c r="H815" s="11"/>
      <c r="I815" s="11"/>
    </row>
    <row r="816" spans="4:9" ht="14.25" customHeight="1" x14ac:dyDescent="0.2">
      <c r="D816" s="34"/>
      <c r="F816" s="11"/>
      <c r="G816" s="11"/>
      <c r="H816" s="11"/>
      <c r="I816" s="11"/>
    </row>
    <row r="817" spans="4:9" ht="14.25" customHeight="1" x14ac:dyDescent="0.2">
      <c r="D817" s="34"/>
      <c r="F817" s="11"/>
      <c r="G817" s="11"/>
      <c r="H817" s="11"/>
      <c r="I817" s="11"/>
    </row>
    <row r="818" spans="4:9" ht="14.25" customHeight="1" x14ac:dyDescent="0.2">
      <c r="D818" s="34"/>
      <c r="F818" s="11"/>
      <c r="G818" s="11"/>
      <c r="H818" s="11"/>
      <c r="I818" s="11"/>
    </row>
    <row r="819" spans="4:9" ht="14.25" customHeight="1" x14ac:dyDescent="0.2">
      <c r="D819" s="34"/>
      <c r="F819" s="11"/>
      <c r="G819" s="11"/>
      <c r="H819" s="11"/>
      <c r="I819" s="11"/>
    </row>
    <row r="820" spans="4:9" ht="14.25" customHeight="1" x14ac:dyDescent="0.2">
      <c r="D820" s="34"/>
      <c r="F820" s="11"/>
      <c r="G820" s="11"/>
      <c r="H820" s="11"/>
      <c r="I820" s="11"/>
    </row>
    <row r="821" spans="4:9" ht="14.25" customHeight="1" x14ac:dyDescent="0.2">
      <c r="D821" s="34"/>
      <c r="F821" s="11"/>
      <c r="G821" s="11"/>
      <c r="H821" s="11"/>
      <c r="I821" s="11"/>
    </row>
    <row r="822" spans="4:9" ht="14.25" customHeight="1" x14ac:dyDescent="0.2">
      <c r="D822" s="34"/>
      <c r="F822" s="11"/>
      <c r="G822" s="11"/>
      <c r="H822" s="11"/>
      <c r="I822" s="11"/>
    </row>
    <row r="823" spans="4:9" ht="14.25" customHeight="1" x14ac:dyDescent="0.2">
      <c r="D823" s="34"/>
      <c r="F823" s="11"/>
      <c r="G823" s="11"/>
      <c r="H823" s="11"/>
      <c r="I823" s="11"/>
    </row>
    <row r="824" spans="4:9" ht="14.25" customHeight="1" x14ac:dyDescent="0.2">
      <c r="D824" s="34"/>
      <c r="F824" s="11"/>
      <c r="G824" s="11"/>
      <c r="H824" s="11"/>
      <c r="I824" s="11"/>
    </row>
    <row r="825" spans="4:9" ht="14.25" customHeight="1" x14ac:dyDescent="0.2">
      <c r="D825" s="34"/>
      <c r="F825" s="11"/>
      <c r="G825" s="11"/>
      <c r="H825" s="11"/>
      <c r="I825" s="11"/>
    </row>
    <row r="826" spans="4:9" ht="14.25" customHeight="1" x14ac:dyDescent="0.2">
      <c r="D826" s="34"/>
      <c r="F826" s="11"/>
      <c r="G826" s="11"/>
      <c r="H826" s="11"/>
      <c r="I826" s="11"/>
    </row>
    <row r="827" spans="4:9" ht="14.25" customHeight="1" x14ac:dyDescent="0.2">
      <c r="D827" s="34"/>
      <c r="F827" s="11"/>
      <c r="G827" s="11"/>
      <c r="H827" s="11"/>
      <c r="I827" s="11"/>
    </row>
    <row r="828" spans="4:9" ht="14.25" customHeight="1" x14ac:dyDescent="0.2">
      <c r="D828" s="34"/>
      <c r="F828" s="11"/>
      <c r="G828" s="11"/>
      <c r="H828" s="11"/>
      <c r="I828" s="11"/>
    </row>
    <row r="829" spans="4:9" ht="14.25" customHeight="1" x14ac:dyDescent="0.2">
      <c r="D829" s="34"/>
      <c r="F829" s="11"/>
      <c r="G829" s="11"/>
      <c r="H829" s="11"/>
      <c r="I829" s="11"/>
    </row>
    <row r="830" spans="4:9" ht="14.25" customHeight="1" x14ac:dyDescent="0.2">
      <c r="D830" s="34"/>
      <c r="F830" s="11"/>
      <c r="G830" s="11"/>
      <c r="H830" s="11"/>
      <c r="I830" s="11"/>
    </row>
    <row r="831" spans="4:9" ht="14.25" customHeight="1" x14ac:dyDescent="0.2">
      <c r="D831" s="34"/>
      <c r="F831" s="11"/>
      <c r="G831" s="11"/>
      <c r="H831" s="11"/>
      <c r="I831" s="11"/>
    </row>
    <row r="832" spans="4:9" ht="14.25" customHeight="1" x14ac:dyDescent="0.2">
      <c r="D832" s="34"/>
      <c r="F832" s="11"/>
      <c r="G832" s="11"/>
      <c r="H832" s="11"/>
      <c r="I832" s="11"/>
    </row>
    <row r="833" spans="4:9" ht="14.25" customHeight="1" x14ac:dyDescent="0.2">
      <c r="D833" s="34"/>
      <c r="F833" s="11"/>
      <c r="G833" s="11"/>
      <c r="H833" s="11"/>
      <c r="I833" s="11"/>
    </row>
    <row r="834" spans="4:9" ht="14.25" customHeight="1" x14ac:dyDescent="0.2">
      <c r="D834" s="34"/>
      <c r="F834" s="11"/>
      <c r="G834" s="11"/>
      <c r="H834" s="11"/>
      <c r="I834" s="11"/>
    </row>
    <row r="835" spans="4:9" ht="14.25" customHeight="1" x14ac:dyDescent="0.2">
      <c r="D835" s="34"/>
      <c r="F835" s="11"/>
      <c r="G835" s="11"/>
      <c r="H835" s="11"/>
      <c r="I835" s="11"/>
    </row>
    <row r="836" spans="4:9" ht="14.25" customHeight="1" x14ac:dyDescent="0.2">
      <c r="D836" s="34"/>
      <c r="F836" s="11"/>
      <c r="G836" s="11"/>
      <c r="H836" s="11"/>
      <c r="I836" s="11"/>
    </row>
    <row r="837" spans="4:9" ht="14.25" customHeight="1" x14ac:dyDescent="0.2">
      <c r="D837" s="34"/>
      <c r="F837" s="11"/>
      <c r="G837" s="11"/>
      <c r="H837" s="11"/>
      <c r="I837" s="11"/>
    </row>
    <row r="838" spans="4:9" ht="14.25" customHeight="1" x14ac:dyDescent="0.2">
      <c r="D838" s="34"/>
      <c r="F838" s="11"/>
      <c r="G838" s="11"/>
      <c r="H838" s="11"/>
      <c r="I838" s="11"/>
    </row>
    <row r="839" spans="4:9" ht="14.25" customHeight="1" x14ac:dyDescent="0.2">
      <c r="D839" s="34"/>
      <c r="F839" s="11"/>
      <c r="G839" s="11"/>
      <c r="H839" s="11"/>
      <c r="I839" s="11"/>
    </row>
    <row r="840" spans="4:9" ht="14.25" customHeight="1" x14ac:dyDescent="0.2">
      <c r="D840" s="34"/>
      <c r="F840" s="11"/>
      <c r="G840" s="11"/>
      <c r="H840" s="11"/>
      <c r="I840" s="11"/>
    </row>
    <row r="841" spans="4:9" ht="14.25" customHeight="1" x14ac:dyDescent="0.2">
      <c r="D841" s="34"/>
      <c r="F841" s="11"/>
      <c r="G841" s="11"/>
      <c r="H841" s="11"/>
      <c r="I841" s="11"/>
    </row>
    <row r="842" spans="4:9" ht="14.25" customHeight="1" x14ac:dyDescent="0.2">
      <c r="D842" s="34"/>
      <c r="F842" s="11"/>
      <c r="G842" s="11"/>
      <c r="H842" s="11"/>
      <c r="I842" s="11"/>
    </row>
    <row r="843" spans="4:9" ht="14.25" customHeight="1" x14ac:dyDescent="0.2">
      <c r="D843" s="34"/>
      <c r="F843" s="11"/>
      <c r="G843" s="11"/>
      <c r="H843" s="11"/>
      <c r="I843" s="11"/>
    </row>
    <row r="844" spans="4:9" ht="14.25" customHeight="1" x14ac:dyDescent="0.2">
      <c r="D844" s="34"/>
      <c r="F844" s="11"/>
      <c r="G844" s="11"/>
      <c r="H844" s="11"/>
      <c r="I844" s="11"/>
    </row>
    <row r="845" spans="4:9" ht="14.25" customHeight="1" x14ac:dyDescent="0.2">
      <c r="D845" s="34"/>
      <c r="F845" s="11"/>
      <c r="G845" s="11"/>
      <c r="H845" s="11"/>
      <c r="I845" s="11"/>
    </row>
    <row r="846" spans="4:9" ht="14.25" customHeight="1" x14ac:dyDescent="0.2">
      <c r="D846" s="34"/>
      <c r="F846" s="11"/>
      <c r="G846" s="11"/>
      <c r="H846" s="11"/>
      <c r="I846" s="11"/>
    </row>
    <row r="847" spans="4:9" ht="14.25" customHeight="1" x14ac:dyDescent="0.2">
      <c r="D847" s="34"/>
      <c r="F847" s="11"/>
      <c r="G847" s="11"/>
      <c r="H847" s="11"/>
      <c r="I847" s="11"/>
    </row>
    <row r="848" spans="4:9" ht="14.25" customHeight="1" x14ac:dyDescent="0.2">
      <c r="D848" s="34"/>
      <c r="F848" s="11"/>
      <c r="G848" s="11"/>
      <c r="H848" s="11"/>
      <c r="I848" s="11"/>
    </row>
    <row r="849" spans="4:9" ht="14.25" customHeight="1" x14ac:dyDescent="0.2">
      <c r="D849" s="34"/>
      <c r="F849" s="11"/>
      <c r="G849" s="11"/>
      <c r="H849" s="11"/>
      <c r="I849" s="11"/>
    </row>
    <row r="850" spans="4:9" ht="14.25" customHeight="1" x14ac:dyDescent="0.2">
      <c r="D850" s="34"/>
      <c r="F850" s="11"/>
      <c r="G850" s="11"/>
      <c r="H850" s="11"/>
      <c r="I850" s="11"/>
    </row>
    <row r="851" spans="4:9" ht="14.25" customHeight="1" x14ac:dyDescent="0.2">
      <c r="D851" s="34"/>
      <c r="F851" s="11"/>
      <c r="G851" s="11"/>
      <c r="H851" s="11"/>
      <c r="I851" s="11"/>
    </row>
    <row r="852" spans="4:9" ht="14.25" customHeight="1" x14ac:dyDescent="0.2">
      <c r="D852" s="34"/>
      <c r="F852" s="11"/>
      <c r="G852" s="11"/>
      <c r="H852" s="11"/>
      <c r="I852" s="11"/>
    </row>
    <row r="853" spans="4:9" ht="14.25" customHeight="1" x14ac:dyDescent="0.2">
      <c r="D853" s="34"/>
      <c r="F853" s="11"/>
      <c r="G853" s="11"/>
      <c r="H853" s="11"/>
      <c r="I853" s="11"/>
    </row>
    <row r="854" spans="4:9" ht="14.25" customHeight="1" x14ac:dyDescent="0.2">
      <c r="D854" s="34"/>
      <c r="F854" s="11"/>
      <c r="G854" s="11"/>
      <c r="H854" s="11"/>
      <c r="I854" s="11"/>
    </row>
    <row r="855" spans="4:9" ht="14.25" customHeight="1" x14ac:dyDescent="0.2">
      <c r="D855" s="34"/>
      <c r="F855" s="11"/>
      <c r="G855" s="11"/>
      <c r="H855" s="11"/>
      <c r="I855" s="11"/>
    </row>
    <row r="856" spans="4:9" ht="14.25" customHeight="1" x14ac:dyDescent="0.2">
      <c r="D856" s="34"/>
      <c r="F856" s="11"/>
      <c r="G856" s="11"/>
      <c r="H856" s="11"/>
      <c r="I856" s="11"/>
    </row>
    <row r="857" spans="4:9" ht="14.25" customHeight="1" x14ac:dyDescent="0.2">
      <c r="D857" s="34"/>
      <c r="F857" s="11"/>
      <c r="G857" s="11"/>
      <c r="H857" s="11"/>
      <c r="I857" s="11"/>
    </row>
    <row r="858" spans="4:9" ht="14.25" customHeight="1" x14ac:dyDescent="0.2">
      <c r="D858" s="34"/>
      <c r="F858" s="11"/>
      <c r="G858" s="11"/>
      <c r="H858" s="11"/>
      <c r="I858" s="11"/>
    </row>
    <row r="859" spans="4:9" ht="14.25" customHeight="1" x14ac:dyDescent="0.2">
      <c r="D859" s="34"/>
      <c r="F859" s="11"/>
      <c r="G859" s="11"/>
      <c r="H859" s="11"/>
      <c r="I859" s="11"/>
    </row>
    <row r="860" spans="4:9" ht="14.25" customHeight="1" x14ac:dyDescent="0.2">
      <c r="D860" s="34"/>
      <c r="F860" s="11"/>
      <c r="G860" s="11"/>
      <c r="H860" s="11"/>
      <c r="I860" s="11"/>
    </row>
    <row r="861" spans="4:9" ht="14.25" customHeight="1" x14ac:dyDescent="0.2">
      <c r="D861" s="34"/>
      <c r="F861" s="11"/>
      <c r="G861" s="11"/>
      <c r="H861" s="11"/>
      <c r="I861" s="11"/>
    </row>
    <row r="862" spans="4:9" ht="14.25" customHeight="1" x14ac:dyDescent="0.2">
      <c r="D862" s="34"/>
      <c r="F862" s="11"/>
      <c r="G862" s="11"/>
      <c r="H862" s="11"/>
      <c r="I862" s="11"/>
    </row>
    <row r="863" spans="4:9" ht="14.25" customHeight="1" x14ac:dyDescent="0.2">
      <c r="D863" s="34"/>
      <c r="F863" s="11"/>
      <c r="G863" s="11"/>
      <c r="H863" s="11"/>
      <c r="I863" s="11"/>
    </row>
    <row r="864" spans="4:9" ht="14.25" customHeight="1" x14ac:dyDescent="0.2">
      <c r="D864" s="34"/>
      <c r="F864" s="11"/>
      <c r="G864" s="11"/>
      <c r="H864" s="11"/>
      <c r="I864" s="11"/>
    </row>
    <row r="865" spans="4:9" ht="14.25" customHeight="1" x14ac:dyDescent="0.2">
      <c r="D865" s="34"/>
      <c r="F865" s="11"/>
      <c r="G865" s="11"/>
      <c r="H865" s="11"/>
      <c r="I865" s="11"/>
    </row>
    <row r="866" spans="4:9" ht="14.25" customHeight="1" x14ac:dyDescent="0.2">
      <c r="D866" s="34"/>
      <c r="F866" s="11"/>
      <c r="G866" s="11"/>
      <c r="H866" s="11"/>
      <c r="I866" s="11"/>
    </row>
    <row r="867" spans="4:9" ht="14.25" customHeight="1" x14ac:dyDescent="0.2">
      <c r="D867" s="34"/>
      <c r="F867" s="11"/>
      <c r="G867" s="11"/>
      <c r="H867" s="11"/>
      <c r="I867" s="11"/>
    </row>
    <row r="868" spans="4:9" ht="14.25" customHeight="1" x14ac:dyDescent="0.2">
      <c r="D868" s="34"/>
      <c r="F868" s="11"/>
      <c r="G868" s="11"/>
      <c r="H868" s="11"/>
      <c r="I868" s="11"/>
    </row>
    <row r="869" spans="4:9" ht="14.25" customHeight="1" x14ac:dyDescent="0.2">
      <c r="D869" s="34"/>
      <c r="F869" s="11"/>
      <c r="G869" s="11"/>
      <c r="H869" s="11"/>
      <c r="I869" s="11"/>
    </row>
    <row r="870" spans="4:9" ht="14.25" customHeight="1" x14ac:dyDescent="0.2">
      <c r="D870" s="34"/>
      <c r="F870" s="11"/>
      <c r="G870" s="11"/>
      <c r="H870" s="11"/>
      <c r="I870" s="11"/>
    </row>
    <row r="871" spans="4:9" ht="14.25" customHeight="1" x14ac:dyDescent="0.2">
      <c r="D871" s="34"/>
      <c r="F871" s="11"/>
      <c r="G871" s="11"/>
      <c r="H871" s="11"/>
      <c r="I871" s="11"/>
    </row>
    <row r="872" spans="4:9" ht="14.25" customHeight="1" x14ac:dyDescent="0.2">
      <c r="D872" s="34"/>
      <c r="F872" s="11"/>
      <c r="G872" s="11"/>
      <c r="H872" s="11"/>
      <c r="I872" s="11"/>
    </row>
    <row r="873" spans="4:9" ht="14.25" customHeight="1" x14ac:dyDescent="0.2">
      <c r="D873" s="34"/>
      <c r="F873" s="11"/>
      <c r="G873" s="11"/>
      <c r="H873" s="11"/>
      <c r="I873" s="11"/>
    </row>
    <row r="874" spans="4:9" ht="14.25" customHeight="1" x14ac:dyDescent="0.2">
      <c r="D874" s="34"/>
      <c r="F874" s="11"/>
      <c r="G874" s="11"/>
      <c r="H874" s="11"/>
      <c r="I874" s="11"/>
    </row>
    <row r="875" spans="4:9" ht="14.25" customHeight="1" x14ac:dyDescent="0.2">
      <c r="D875" s="34"/>
      <c r="F875" s="11"/>
      <c r="G875" s="11"/>
      <c r="H875" s="11"/>
      <c r="I875" s="11"/>
    </row>
    <row r="876" spans="4:9" ht="14.25" customHeight="1" x14ac:dyDescent="0.2">
      <c r="D876" s="34"/>
      <c r="F876" s="11"/>
      <c r="G876" s="11"/>
      <c r="H876" s="11"/>
      <c r="I876" s="11"/>
    </row>
    <row r="877" spans="4:9" ht="14.25" customHeight="1" x14ac:dyDescent="0.2">
      <c r="D877" s="34"/>
      <c r="F877" s="11"/>
      <c r="G877" s="11"/>
      <c r="H877" s="11"/>
      <c r="I877" s="11"/>
    </row>
    <row r="878" spans="4:9" ht="14.25" customHeight="1" x14ac:dyDescent="0.2">
      <c r="D878" s="34"/>
      <c r="F878" s="11"/>
      <c r="G878" s="11"/>
      <c r="H878" s="11"/>
      <c r="I878" s="11"/>
    </row>
    <row r="879" spans="4:9" ht="14.25" customHeight="1" x14ac:dyDescent="0.2">
      <c r="D879" s="34"/>
      <c r="F879" s="11"/>
      <c r="G879" s="11"/>
      <c r="H879" s="11"/>
      <c r="I879" s="11"/>
    </row>
    <row r="880" spans="4:9" ht="14.25" customHeight="1" x14ac:dyDescent="0.2">
      <c r="D880" s="34"/>
      <c r="F880" s="11"/>
      <c r="G880" s="11"/>
      <c r="H880" s="11"/>
      <c r="I880" s="11"/>
    </row>
    <row r="881" spans="4:9" ht="14.25" customHeight="1" x14ac:dyDescent="0.2">
      <c r="D881" s="34"/>
      <c r="F881" s="11"/>
      <c r="G881" s="11"/>
      <c r="H881" s="11"/>
      <c r="I881" s="11"/>
    </row>
    <row r="882" spans="4:9" ht="14.25" customHeight="1" x14ac:dyDescent="0.2">
      <c r="D882" s="34"/>
      <c r="F882" s="11"/>
      <c r="G882" s="11"/>
      <c r="H882" s="11"/>
      <c r="I882" s="11"/>
    </row>
    <row r="883" spans="4:9" ht="14.25" customHeight="1" x14ac:dyDescent="0.2">
      <c r="D883" s="34"/>
      <c r="F883" s="11"/>
      <c r="G883" s="11"/>
      <c r="H883" s="11"/>
      <c r="I883" s="11"/>
    </row>
    <row r="884" spans="4:9" ht="14.25" customHeight="1" x14ac:dyDescent="0.2">
      <c r="D884" s="34"/>
      <c r="F884" s="11"/>
      <c r="G884" s="11"/>
      <c r="H884" s="11"/>
      <c r="I884" s="11"/>
    </row>
    <row r="885" spans="4:9" ht="14.25" customHeight="1" x14ac:dyDescent="0.2">
      <c r="D885" s="34"/>
      <c r="F885" s="11"/>
      <c r="G885" s="11"/>
      <c r="H885" s="11"/>
      <c r="I885" s="11"/>
    </row>
    <row r="886" spans="4:9" ht="14.25" customHeight="1" x14ac:dyDescent="0.2">
      <c r="D886" s="34"/>
      <c r="F886" s="11"/>
      <c r="G886" s="11"/>
      <c r="H886" s="11"/>
      <c r="I886" s="11"/>
    </row>
    <row r="887" spans="4:9" ht="14.25" customHeight="1" x14ac:dyDescent="0.2">
      <c r="D887" s="34"/>
      <c r="F887" s="11"/>
      <c r="G887" s="11"/>
      <c r="H887" s="11"/>
      <c r="I887" s="11"/>
    </row>
    <row r="888" spans="4:9" ht="14.25" customHeight="1" x14ac:dyDescent="0.2">
      <c r="D888" s="34"/>
      <c r="F888" s="11"/>
      <c r="G888" s="11"/>
      <c r="H888" s="11"/>
      <c r="I888" s="11"/>
    </row>
    <row r="889" spans="4:9" ht="14.25" customHeight="1" x14ac:dyDescent="0.2">
      <c r="D889" s="34"/>
      <c r="F889" s="11"/>
      <c r="G889" s="11"/>
      <c r="H889" s="11"/>
      <c r="I889" s="11"/>
    </row>
    <row r="890" spans="4:9" ht="14.25" customHeight="1" x14ac:dyDescent="0.2">
      <c r="D890" s="34"/>
      <c r="F890" s="11"/>
      <c r="G890" s="11"/>
      <c r="H890" s="11"/>
      <c r="I890" s="11"/>
    </row>
    <row r="891" spans="4:9" ht="14.25" customHeight="1" x14ac:dyDescent="0.2">
      <c r="D891" s="34"/>
      <c r="F891" s="11"/>
      <c r="G891" s="11"/>
      <c r="H891" s="11"/>
      <c r="I891" s="11"/>
    </row>
    <row r="892" spans="4:9" ht="14.25" customHeight="1" x14ac:dyDescent="0.2">
      <c r="D892" s="34"/>
      <c r="F892" s="11"/>
      <c r="G892" s="11"/>
      <c r="H892" s="11"/>
      <c r="I892" s="11"/>
    </row>
    <row r="893" spans="4:9" ht="14.25" customHeight="1" x14ac:dyDescent="0.2">
      <c r="D893" s="34"/>
      <c r="F893" s="11"/>
      <c r="G893" s="11"/>
      <c r="H893" s="11"/>
      <c r="I893" s="11"/>
    </row>
    <row r="894" spans="4:9" ht="14.25" customHeight="1" x14ac:dyDescent="0.2">
      <c r="D894" s="34"/>
      <c r="F894" s="11"/>
      <c r="G894" s="11"/>
      <c r="H894" s="11"/>
      <c r="I894" s="11"/>
    </row>
    <row r="895" spans="4:9" ht="14.25" customHeight="1" x14ac:dyDescent="0.2">
      <c r="D895" s="34"/>
      <c r="F895" s="11"/>
      <c r="G895" s="11"/>
      <c r="H895" s="11"/>
      <c r="I895" s="11"/>
    </row>
    <row r="896" spans="4:9" ht="14.25" customHeight="1" x14ac:dyDescent="0.2">
      <c r="D896" s="34"/>
      <c r="F896" s="11"/>
      <c r="G896" s="11"/>
      <c r="H896" s="11"/>
      <c r="I896" s="11"/>
    </row>
    <row r="897" spans="4:9" ht="14.25" customHeight="1" x14ac:dyDescent="0.2">
      <c r="D897" s="34"/>
      <c r="F897" s="11"/>
      <c r="G897" s="11"/>
      <c r="H897" s="11"/>
      <c r="I897" s="11"/>
    </row>
    <row r="898" spans="4:9" ht="14.25" customHeight="1" x14ac:dyDescent="0.2">
      <c r="D898" s="34"/>
      <c r="F898" s="11"/>
      <c r="G898" s="11"/>
      <c r="H898" s="11"/>
      <c r="I898" s="11"/>
    </row>
    <row r="899" spans="4:9" ht="14.25" customHeight="1" x14ac:dyDescent="0.2">
      <c r="D899" s="34"/>
      <c r="F899" s="11"/>
      <c r="G899" s="11"/>
      <c r="H899" s="11"/>
      <c r="I899" s="11"/>
    </row>
    <row r="900" spans="4:9" ht="14.25" customHeight="1" x14ac:dyDescent="0.2">
      <c r="D900" s="34"/>
      <c r="F900" s="11"/>
      <c r="G900" s="11"/>
      <c r="H900" s="11"/>
      <c r="I900" s="11"/>
    </row>
    <row r="901" spans="4:9" ht="14.25" customHeight="1" x14ac:dyDescent="0.2">
      <c r="D901" s="34"/>
      <c r="F901" s="11"/>
      <c r="G901" s="11"/>
      <c r="H901" s="11"/>
      <c r="I901" s="11"/>
    </row>
    <row r="902" spans="4:9" ht="14.25" customHeight="1" x14ac:dyDescent="0.2">
      <c r="D902" s="34"/>
      <c r="F902" s="11"/>
      <c r="G902" s="11"/>
      <c r="H902" s="11"/>
      <c r="I902" s="11"/>
    </row>
    <row r="903" spans="4:9" ht="14.25" customHeight="1" x14ac:dyDescent="0.2">
      <c r="D903" s="34"/>
      <c r="F903" s="11"/>
      <c r="G903" s="11"/>
      <c r="H903" s="11"/>
      <c r="I903" s="11"/>
    </row>
    <row r="904" spans="4:9" ht="14.25" customHeight="1" x14ac:dyDescent="0.2">
      <c r="D904" s="34"/>
      <c r="F904" s="11"/>
      <c r="G904" s="11"/>
      <c r="H904" s="11"/>
      <c r="I904" s="11"/>
    </row>
    <row r="905" spans="4:9" ht="14.25" customHeight="1" x14ac:dyDescent="0.2">
      <c r="D905" s="34"/>
      <c r="F905" s="11"/>
      <c r="G905" s="11"/>
      <c r="H905" s="11"/>
      <c r="I905" s="11"/>
    </row>
    <row r="906" spans="4:9" ht="14.25" customHeight="1" x14ac:dyDescent="0.2">
      <c r="D906" s="34"/>
      <c r="F906" s="11"/>
      <c r="G906" s="11"/>
      <c r="H906" s="11"/>
      <c r="I906" s="11"/>
    </row>
    <row r="907" spans="4:9" ht="14.25" customHeight="1" x14ac:dyDescent="0.2">
      <c r="D907" s="34"/>
      <c r="F907" s="11"/>
      <c r="G907" s="11"/>
      <c r="H907" s="11"/>
      <c r="I907" s="11"/>
    </row>
    <row r="908" spans="4:9" ht="14.25" customHeight="1" x14ac:dyDescent="0.2">
      <c r="D908" s="34"/>
      <c r="F908" s="11"/>
      <c r="G908" s="11"/>
      <c r="H908" s="11"/>
      <c r="I908" s="11"/>
    </row>
    <row r="909" spans="4:9" ht="14.25" customHeight="1" x14ac:dyDescent="0.2">
      <c r="D909" s="34"/>
      <c r="F909" s="11"/>
      <c r="G909" s="11"/>
      <c r="H909" s="11"/>
      <c r="I909" s="11"/>
    </row>
    <row r="910" spans="4:9" ht="14.25" customHeight="1" x14ac:dyDescent="0.2">
      <c r="D910" s="34"/>
      <c r="F910" s="11"/>
      <c r="G910" s="11"/>
      <c r="H910" s="11"/>
      <c r="I910" s="11"/>
    </row>
    <row r="911" spans="4:9" ht="14.25" customHeight="1" x14ac:dyDescent="0.2">
      <c r="D911" s="34"/>
      <c r="F911" s="11"/>
      <c r="G911" s="11"/>
      <c r="H911" s="11"/>
      <c r="I911" s="11"/>
    </row>
    <row r="912" spans="4:9" ht="14.25" customHeight="1" x14ac:dyDescent="0.2">
      <c r="D912" s="34"/>
      <c r="F912" s="11"/>
      <c r="G912" s="11"/>
      <c r="H912" s="11"/>
      <c r="I912" s="11"/>
    </row>
    <row r="913" spans="4:9" ht="14.25" customHeight="1" x14ac:dyDescent="0.2">
      <c r="D913" s="34"/>
      <c r="F913" s="11"/>
      <c r="G913" s="11"/>
      <c r="H913" s="11"/>
      <c r="I913" s="11"/>
    </row>
    <row r="914" spans="4:9" ht="14.25" customHeight="1" x14ac:dyDescent="0.2">
      <c r="D914" s="34"/>
      <c r="F914" s="11"/>
      <c r="G914" s="11"/>
      <c r="H914" s="11"/>
      <c r="I914" s="11"/>
    </row>
    <row r="915" spans="4:9" ht="14.25" customHeight="1" x14ac:dyDescent="0.2">
      <c r="D915" s="34"/>
      <c r="F915" s="11"/>
      <c r="G915" s="11"/>
      <c r="H915" s="11"/>
      <c r="I915" s="11"/>
    </row>
    <row r="916" spans="4:9" ht="14.25" customHeight="1" x14ac:dyDescent="0.2">
      <c r="D916" s="34"/>
      <c r="F916" s="11"/>
      <c r="G916" s="11"/>
      <c r="H916" s="11"/>
      <c r="I916" s="11"/>
    </row>
    <row r="917" spans="4:9" ht="14.25" customHeight="1" x14ac:dyDescent="0.2">
      <c r="D917" s="34"/>
      <c r="F917" s="11"/>
      <c r="G917" s="11"/>
      <c r="H917" s="11"/>
      <c r="I917" s="11"/>
    </row>
    <row r="918" spans="4:9" ht="14.25" customHeight="1" x14ac:dyDescent="0.2">
      <c r="D918" s="34"/>
      <c r="F918" s="11"/>
      <c r="G918" s="11"/>
      <c r="H918" s="11"/>
      <c r="I918" s="11"/>
    </row>
    <row r="919" spans="4:9" ht="14.25" customHeight="1" x14ac:dyDescent="0.2">
      <c r="D919" s="34"/>
      <c r="F919" s="11"/>
      <c r="G919" s="11"/>
      <c r="H919" s="11"/>
      <c r="I919" s="11"/>
    </row>
    <row r="920" spans="4:9" ht="14.25" customHeight="1" x14ac:dyDescent="0.2">
      <c r="D920" s="34"/>
      <c r="F920" s="11"/>
      <c r="G920" s="11"/>
      <c r="H920" s="11"/>
      <c r="I920" s="11"/>
    </row>
    <row r="921" spans="4:9" ht="14.25" customHeight="1" x14ac:dyDescent="0.2">
      <c r="D921" s="34"/>
      <c r="F921" s="11"/>
      <c r="G921" s="11"/>
      <c r="H921" s="11"/>
      <c r="I921" s="11"/>
    </row>
    <row r="922" spans="4:9" ht="14.25" customHeight="1" x14ac:dyDescent="0.2">
      <c r="D922" s="34"/>
      <c r="F922" s="11"/>
      <c r="G922" s="11"/>
      <c r="H922" s="11"/>
      <c r="I922" s="11"/>
    </row>
    <row r="923" spans="4:9" ht="14.25" customHeight="1" x14ac:dyDescent="0.2">
      <c r="D923" s="34"/>
      <c r="F923" s="11"/>
      <c r="G923" s="11"/>
      <c r="H923" s="11"/>
      <c r="I923" s="11"/>
    </row>
    <row r="924" spans="4:9" ht="14.25" customHeight="1" x14ac:dyDescent="0.2">
      <c r="D924" s="34"/>
      <c r="F924" s="11"/>
      <c r="G924" s="11"/>
      <c r="H924" s="11"/>
      <c r="I924" s="11"/>
    </row>
    <row r="925" spans="4:9" ht="14.25" customHeight="1" x14ac:dyDescent="0.2">
      <c r="D925" s="34"/>
      <c r="F925" s="11"/>
      <c r="G925" s="11"/>
      <c r="H925" s="11"/>
      <c r="I925" s="11"/>
    </row>
    <row r="926" spans="4:9" ht="14.25" customHeight="1" x14ac:dyDescent="0.2">
      <c r="D926" s="34"/>
      <c r="F926" s="11"/>
      <c r="G926" s="11"/>
      <c r="H926" s="11"/>
      <c r="I926" s="11"/>
    </row>
    <row r="927" spans="4:9" ht="14.25" customHeight="1" x14ac:dyDescent="0.2">
      <c r="D927" s="34"/>
      <c r="F927" s="11"/>
      <c r="G927" s="11"/>
      <c r="H927" s="11"/>
      <c r="I927" s="11"/>
    </row>
    <row r="928" spans="4:9" ht="14.25" customHeight="1" x14ac:dyDescent="0.2">
      <c r="D928" s="34"/>
      <c r="F928" s="11"/>
      <c r="G928" s="11"/>
      <c r="H928" s="11"/>
      <c r="I928" s="11"/>
    </row>
    <row r="929" spans="4:9" ht="14.25" customHeight="1" x14ac:dyDescent="0.2">
      <c r="D929" s="34"/>
      <c r="F929" s="11"/>
      <c r="G929" s="11"/>
      <c r="H929" s="11"/>
      <c r="I929" s="11"/>
    </row>
    <row r="930" spans="4:9" ht="14.25" customHeight="1" x14ac:dyDescent="0.2">
      <c r="D930" s="34"/>
      <c r="F930" s="11"/>
      <c r="G930" s="11"/>
      <c r="H930" s="11"/>
      <c r="I930" s="11"/>
    </row>
    <row r="931" spans="4:9" ht="14.25" customHeight="1" x14ac:dyDescent="0.2">
      <c r="D931" s="34"/>
      <c r="F931" s="11"/>
      <c r="G931" s="11"/>
      <c r="H931" s="11"/>
      <c r="I931" s="11"/>
    </row>
    <row r="932" spans="4:9" ht="14.25" customHeight="1" x14ac:dyDescent="0.2">
      <c r="D932" s="34"/>
      <c r="F932" s="11"/>
      <c r="G932" s="11"/>
      <c r="H932" s="11"/>
      <c r="I932" s="11"/>
    </row>
    <row r="933" spans="4:9" ht="14.25" customHeight="1" x14ac:dyDescent="0.2">
      <c r="D933" s="34"/>
      <c r="F933" s="11"/>
      <c r="G933" s="11"/>
      <c r="H933" s="11"/>
      <c r="I933" s="11"/>
    </row>
    <row r="934" spans="4:9" ht="14.25" customHeight="1" x14ac:dyDescent="0.2">
      <c r="D934" s="34"/>
      <c r="F934" s="11"/>
      <c r="G934" s="11"/>
      <c r="H934" s="11"/>
      <c r="I934" s="11"/>
    </row>
    <row r="935" spans="4:9" ht="14.25" customHeight="1" x14ac:dyDescent="0.2">
      <c r="D935" s="34"/>
      <c r="F935" s="11"/>
      <c r="G935" s="11"/>
      <c r="H935" s="11"/>
      <c r="I935" s="11"/>
    </row>
    <row r="936" spans="4:9" ht="14.25" customHeight="1" x14ac:dyDescent="0.2">
      <c r="D936" s="34"/>
      <c r="F936" s="11"/>
      <c r="G936" s="11"/>
      <c r="H936" s="11"/>
      <c r="I936" s="11"/>
    </row>
    <row r="937" spans="4:9" ht="14.25" customHeight="1" x14ac:dyDescent="0.2">
      <c r="D937" s="34"/>
      <c r="F937" s="11"/>
      <c r="G937" s="11"/>
      <c r="H937" s="11"/>
      <c r="I937" s="11"/>
    </row>
    <row r="938" spans="4:9" ht="14.25" customHeight="1" x14ac:dyDescent="0.2">
      <c r="D938" s="34"/>
      <c r="F938" s="11"/>
      <c r="G938" s="11"/>
      <c r="H938" s="11"/>
      <c r="I938" s="11"/>
    </row>
    <row r="939" spans="4:9" ht="14.25" customHeight="1" x14ac:dyDescent="0.2">
      <c r="D939" s="34"/>
      <c r="F939" s="11"/>
      <c r="G939" s="11"/>
      <c r="H939" s="11"/>
      <c r="I939" s="11"/>
    </row>
    <row r="940" spans="4:9" ht="14.25" customHeight="1" x14ac:dyDescent="0.2">
      <c r="D940" s="34"/>
      <c r="F940" s="11"/>
      <c r="G940" s="11"/>
      <c r="H940" s="11"/>
      <c r="I940" s="11"/>
    </row>
    <row r="941" spans="4:9" ht="14.25" customHeight="1" x14ac:dyDescent="0.2">
      <c r="D941" s="34"/>
      <c r="F941" s="11"/>
      <c r="G941" s="11"/>
      <c r="H941" s="11"/>
      <c r="I941" s="11"/>
    </row>
    <row r="942" spans="4:9" ht="14.25" customHeight="1" x14ac:dyDescent="0.2">
      <c r="D942" s="34"/>
      <c r="F942" s="11"/>
      <c r="G942" s="11"/>
      <c r="H942" s="11"/>
      <c r="I942" s="11"/>
    </row>
    <row r="943" spans="4:9" ht="14.25" customHeight="1" x14ac:dyDescent="0.2">
      <c r="D943" s="34"/>
      <c r="F943" s="11"/>
      <c r="G943" s="11"/>
      <c r="H943" s="11"/>
      <c r="I943" s="11"/>
    </row>
    <row r="944" spans="4:9" ht="14.25" customHeight="1" x14ac:dyDescent="0.2">
      <c r="D944" s="34"/>
      <c r="F944" s="11"/>
      <c r="G944" s="11"/>
      <c r="H944" s="11"/>
      <c r="I944" s="11"/>
    </row>
    <row r="945" spans="4:9" ht="14.25" customHeight="1" x14ac:dyDescent="0.2">
      <c r="D945" s="34"/>
      <c r="F945" s="11"/>
      <c r="G945" s="11"/>
      <c r="H945" s="11"/>
      <c r="I945" s="11"/>
    </row>
    <row r="946" spans="4:9" ht="14.25" customHeight="1" x14ac:dyDescent="0.2">
      <c r="D946" s="34"/>
      <c r="F946" s="11"/>
      <c r="G946" s="11"/>
      <c r="H946" s="11"/>
      <c r="I946" s="11"/>
    </row>
    <row r="947" spans="4:9" ht="14.25" customHeight="1" x14ac:dyDescent="0.2">
      <c r="D947" s="34"/>
      <c r="F947" s="11"/>
      <c r="G947" s="11"/>
      <c r="H947" s="11"/>
      <c r="I947" s="11"/>
    </row>
    <row r="948" spans="4:9" ht="14.25" customHeight="1" x14ac:dyDescent="0.2">
      <c r="D948" s="34"/>
      <c r="F948" s="11"/>
      <c r="G948" s="11"/>
      <c r="H948" s="11"/>
      <c r="I948" s="11"/>
    </row>
    <row r="949" spans="4:9" ht="14.25" customHeight="1" x14ac:dyDescent="0.2">
      <c r="D949" s="34"/>
      <c r="F949" s="11"/>
      <c r="G949" s="11"/>
      <c r="H949" s="11"/>
      <c r="I949" s="11"/>
    </row>
    <row r="950" spans="4:9" ht="14.25" customHeight="1" x14ac:dyDescent="0.2">
      <c r="D950" s="34"/>
      <c r="F950" s="11"/>
      <c r="G950" s="11"/>
      <c r="H950" s="11"/>
      <c r="I950" s="11"/>
    </row>
    <row r="951" spans="4:9" ht="14.25" customHeight="1" x14ac:dyDescent="0.2">
      <c r="D951" s="34"/>
      <c r="F951" s="11"/>
      <c r="G951" s="11"/>
      <c r="H951" s="11"/>
      <c r="I951" s="11"/>
    </row>
    <row r="952" spans="4:9" ht="14.25" customHeight="1" x14ac:dyDescent="0.2">
      <c r="D952" s="34"/>
      <c r="F952" s="11"/>
      <c r="G952" s="11"/>
      <c r="H952" s="11"/>
      <c r="I952" s="11"/>
    </row>
    <row r="953" spans="4:9" ht="14.25" customHeight="1" x14ac:dyDescent="0.2">
      <c r="D953" s="34"/>
      <c r="F953" s="11"/>
      <c r="G953" s="11"/>
      <c r="H953" s="11"/>
      <c r="I953" s="11"/>
    </row>
    <row r="954" spans="4:9" ht="14.25" customHeight="1" x14ac:dyDescent="0.2">
      <c r="D954" s="34"/>
      <c r="F954" s="11"/>
      <c r="G954" s="11"/>
      <c r="H954" s="11"/>
      <c r="I954" s="11"/>
    </row>
    <row r="955" spans="4:9" ht="14.25" customHeight="1" x14ac:dyDescent="0.2">
      <c r="D955" s="34"/>
      <c r="F955" s="11"/>
      <c r="G955" s="11"/>
      <c r="H955" s="11"/>
      <c r="I955" s="11"/>
    </row>
    <row r="956" spans="4:9" ht="14.25" customHeight="1" x14ac:dyDescent="0.2">
      <c r="D956" s="34"/>
      <c r="F956" s="11"/>
      <c r="G956" s="11"/>
      <c r="H956" s="11"/>
      <c r="I956" s="11"/>
    </row>
    <row r="957" spans="4:9" ht="14.25" customHeight="1" x14ac:dyDescent="0.2">
      <c r="D957" s="34"/>
      <c r="F957" s="11"/>
      <c r="G957" s="11"/>
      <c r="H957" s="11"/>
      <c r="I957" s="11"/>
    </row>
    <row r="958" spans="4:9" ht="14.25" customHeight="1" x14ac:dyDescent="0.2">
      <c r="D958" s="34"/>
      <c r="F958" s="11"/>
      <c r="G958" s="11"/>
      <c r="H958" s="11"/>
      <c r="I958" s="11"/>
    </row>
    <row r="959" spans="4:9" ht="14.25" customHeight="1" x14ac:dyDescent="0.2">
      <c r="D959" s="34"/>
      <c r="F959" s="11"/>
      <c r="G959" s="11"/>
      <c r="H959" s="11"/>
      <c r="I959" s="11"/>
    </row>
    <row r="960" spans="4:9" ht="14.25" customHeight="1" x14ac:dyDescent="0.2">
      <c r="D960" s="34"/>
      <c r="F960" s="11"/>
      <c r="G960" s="11"/>
      <c r="H960" s="11"/>
      <c r="I960" s="11"/>
    </row>
    <row r="961" spans="4:9" ht="14.25" customHeight="1" x14ac:dyDescent="0.2">
      <c r="D961" s="34"/>
      <c r="F961" s="11"/>
      <c r="G961" s="11"/>
      <c r="H961" s="11"/>
      <c r="I961" s="11"/>
    </row>
    <row r="962" spans="4:9" ht="14.25" customHeight="1" x14ac:dyDescent="0.2">
      <c r="D962" s="34"/>
      <c r="F962" s="11"/>
      <c r="G962" s="11"/>
      <c r="H962" s="11"/>
      <c r="I962" s="11"/>
    </row>
    <row r="963" spans="4:9" ht="14.25" customHeight="1" x14ac:dyDescent="0.2">
      <c r="D963" s="34"/>
      <c r="F963" s="11"/>
      <c r="G963" s="11"/>
      <c r="H963" s="11"/>
      <c r="I963" s="11"/>
    </row>
    <row r="964" spans="4:9" ht="14.25" customHeight="1" x14ac:dyDescent="0.2">
      <c r="D964" s="34"/>
      <c r="F964" s="11"/>
      <c r="G964" s="11"/>
      <c r="H964" s="11"/>
      <c r="I964" s="11"/>
    </row>
    <row r="965" spans="4:9" ht="14.25" customHeight="1" x14ac:dyDescent="0.2">
      <c r="D965" s="34"/>
      <c r="F965" s="11"/>
      <c r="G965" s="11"/>
      <c r="H965" s="11"/>
      <c r="I965" s="11"/>
    </row>
    <row r="966" spans="4:9" ht="14.25" customHeight="1" x14ac:dyDescent="0.2">
      <c r="D966" s="34"/>
      <c r="F966" s="11"/>
      <c r="G966" s="11"/>
      <c r="H966" s="11"/>
      <c r="I966" s="11"/>
    </row>
    <row r="967" spans="4:9" ht="14.25" customHeight="1" x14ac:dyDescent="0.2">
      <c r="D967" s="34"/>
      <c r="F967" s="11"/>
      <c r="G967" s="11"/>
      <c r="H967" s="11"/>
      <c r="I967" s="11"/>
    </row>
    <row r="968" spans="4:9" ht="14.25" customHeight="1" x14ac:dyDescent="0.2">
      <c r="D968" s="34"/>
      <c r="F968" s="11"/>
      <c r="G968" s="11"/>
      <c r="H968" s="11"/>
      <c r="I968" s="11"/>
    </row>
    <row r="969" spans="4:9" ht="14.25" customHeight="1" x14ac:dyDescent="0.2">
      <c r="D969" s="34"/>
      <c r="F969" s="11"/>
      <c r="G969" s="11"/>
      <c r="H969" s="11"/>
      <c r="I969" s="11"/>
    </row>
    <row r="970" spans="4:9" ht="14.25" customHeight="1" x14ac:dyDescent="0.2">
      <c r="D970" s="34"/>
      <c r="F970" s="11"/>
      <c r="G970" s="11"/>
      <c r="H970" s="11"/>
      <c r="I970" s="11"/>
    </row>
    <row r="971" spans="4:9" ht="14.25" customHeight="1" x14ac:dyDescent="0.2">
      <c r="D971" s="34"/>
      <c r="F971" s="11"/>
      <c r="G971" s="11"/>
      <c r="H971" s="11"/>
      <c r="I971" s="11"/>
    </row>
    <row r="972" spans="4:9" ht="14.25" customHeight="1" x14ac:dyDescent="0.2">
      <c r="D972" s="34"/>
      <c r="F972" s="11"/>
      <c r="G972" s="11"/>
      <c r="H972" s="11"/>
      <c r="I972" s="11"/>
    </row>
    <row r="973" spans="4:9" ht="14.25" customHeight="1" x14ac:dyDescent="0.2">
      <c r="D973" s="34"/>
      <c r="F973" s="11"/>
      <c r="G973" s="11"/>
      <c r="H973" s="11"/>
      <c r="I973" s="11"/>
    </row>
    <row r="974" spans="4:9" ht="14.25" customHeight="1" x14ac:dyDescent="0.2">
      <c r="D974" s="34"/>
      <c r="F974" s="11"/>
      <c r="G974" s="11"/>
      <c r="H974" s="11"/>
      <c r="I974" s="11"/>
    </row>
    <row r="975" spans="4:9" ht="14.25" customHeight="1" x14ac:dyDescent="0.2">
      <c r="D975" s="34"/>
      <c r="F975" s="11"/>
      <c r="G975" s="11"/>
      <c r="H975" s="11"/>
      <c r="I975" s="11"/>
    </row>
    <row r="976" spans="4:9" ht="14.25" customHeight="1" x14ac:dyDescent="0.2">
      <c r="D976" s="34"/>
      <c r="F976" s="11"/>
      <c r="G976" s="11"/>
      <c r="H976" s="11"/>
      <c r="I976" s="11"/>
    </row>
    <row r="977" spans="4:9" ht="14.25" customHeight="1" x14ac:dyDescent="0.2">
      <c r="D977" s="34"/>
      <c r="F977" s="11"/>
      <c r="G977" s="11"/>
      <c r="H977" s="11"/>
      <c r="I977" s="11"/>
    </row>
    <row r="978" spans="4:9" ht="14.25" customHeight="1" x14ac:dyDescent="0.2">
      <c r="D978" s="34"/>
      <c r="F978" s="11"/>
      <c r="G978" s="11"/>
      <c r="H978" s="11"/>
      <c r="I978" s="11"/>
    </row>
    <row r="979" spans="4:9" ht="14.25" customHeight="1" x14ac:dyDescent="0.2">
      <c r="D979" s="34"/>
      <c r="F979" s="11"/>
      <c r="G979" s="11"/>
      <c r="H979" s="11"/>
      <c r="I979" s="11"/>
    </row>
    <row r="980" spans="4:9" ht="14.25" customHeight="1" x14ac:dyDescent="0.2">
      <c r="D980" s="34"/>
      <c r="F980" s="11"/>
      <c r="G980" s="11"/>
      <c r="H980" s="11"/>
      <c r="I980" s="11"/>
    </row>
    <row r="981" spans="4:9" ht="14.25" customHeight="1" x14ac:dyDescent="0.2">
      <c r="D981" s="34"/>
      <c r="F981" s="11"/>
      <c r="G981" s="11"/>
      <c r="H981" s="11"/>
      <c r="I981" s="11"/>
    </row>
    <row r="982" spans="4:9" ht="14.25" customHeight="1" x14ac:dyDescent="0.2">
      <c r="D982" s="34"/>
      <c r="F982" s="11"/>
      <c r="G982" s="11"/>
      <c r="H982" s="11"/>
      <c r="I982" s="11"/>
    </row>
    <row r="983" spans="4:9" ht="14.25" customHeight="1" x14ac:dyDescent="0.2">
      <c r="D983" s="34"/>
      <c r="F983" s="11"/>
      <c r="G983" s="11"/>
      <c r="H983" s="11"/>
      <c r="I983" s="11"/>
    </row>
    <row r="984" spans="4:9" ht="14.25" customHeight="1" x14ac:dyDescent="0.2">
      <c r="D984" s="34"/>
      <c r="F984" s="11"/>
      <c r="G984" s="11"/>
      <c r="H984" s="11"/>
      <c r="I984" s="11"/>
    </row>
    <row r="985" spans="4:9" ht="14.25" customHeight="1" x14ac:dyDescent="0.2">
      <c r="D985" s="34"/>
      <c r="F985" s="11"/>
      <c r="G985" s="11"/>
      <c r="H985" s="11"/>
      <c r="I985" s="11"/>
    </row>
    <row r="986" spans="4:9" ht="14.25" customHeight="1" x14ac:dyDescent="0.2">
      <c r="D986" s="34"/>
      <c r="F986" s="11"/>
      <c r="G986" s="11"/>
      <c r="H986" s="11"/>
      <c r="I986" s="11"/>
    </row>
    <row r="987" spans="4:9" ht="14.25" customHeight="1" x14ac:dyDescent="0.2">
      <c r="D987" s="34"/>
      <c r="F987" s="11"/>
      <c r="G987" s="11"/>
      <c r="H987" s="11"/>
      <c r="I987" s="11"/>
    </row>
    <row r="988" spans="4:9" ht="14.25" customHeight="1" x14ac:dyDescent="0.2">
      <c r="D988" s="34"/>
      <c r="F988" s="11"/>
      <c r="G988" s="11"/>
      <c r="H988" s="11"/>
      <c r="I988" s="11"/>
    </row>
    <row r="989" spans="4:9" ht="14.25" customHeight="1" x14ac:dyDescent="0.2">
      <c r="D989" s="34"/>
      <c r="F989" s="11"/>
      <c r="G989" s="11"/>
      <c r="H989" s="11"/>
      <c r="I989" s="11"/>
    </row>
    <row r="990" spans="4:9" ht="14.25" customHeight="1" x14ac:dyDescent="0.2">
      <c r="D990" s="34"/>
      <c r="F990" s="11"/>
      <c r="G990" s="11"/>
      <c r="H990" s="11"/>
      <c r="I990" s="11"/>
    </row>
    <row r="991" spans="4:9" ht="14.25" customHeight="1" x14ac:dyDescent="0.2">
      <c r="D991" s="34"/>
      <c r="F991" s="11"/>
      <c r="G991" s="11"/>
      <c r="H991" s="11"/>
      <c r="I991" s="11"/>
    </row>
    <row r="992" spans="4:9" ht="14.25" customHeight="1" x14ac:dyDescent="0.2">
      <c r="D992" s="34"/>
      <c r="F992" s="11"/>
      <c r="G992" s="11"/>
      <c r="H992" s="11"/>
      <c r="I992" s="11"/>
    </row>
    <row r="993" spans="4:9" ht="14.25" customHeight="1" x14ac:dyDescent="0.2">
      <c r="D993" s="34"/>
      <c r="F993" s="11"/>
      <c r="G993" s="11"/>
      <c r="H993" s="11"/>
      <c r="I993" s="11"/>
    </row>
    <row r="994" spans="4:9" ht="14.25" customHeight="1" x14ac:dyDescent="0.2">
      <c r="D994" s="34"/>
      <c r="F994" s="11"/>
      <c r="G994" s="11"/>
      <c r="H994" s="11"/>
      <c r="I994" s="11"/>
    </row>
    <row r="995" spans="4:9" ht="14.25" customHeight="1" x14ac:dyDescent="0.2">
      <c r="D995" s="34"/>
      <c r="F995" s="11"/>
      <c r="G995" s="11"/>
      <c r="H995" s="11"/>
      <c r="I995" s="11"/>
    </row>
    <row r="996" spans="4:9" ht="14.25" customHeight="1" x14ac:dyDescent="0.2">
      <c r="D996" s="34"/>
      <c r="F996" s="11"/>
      <c r="G996" s="11"/>
      <c r="H996" s="11"/>
      <c r="I996" s="11"/>
    </row>
    <row r="997" spans="4:9" ht="14.25" customHeight="1" x14ac:dyDescent="0.2">
      <c r="D997" s="34"/>
      <c r="F997" s="11"/>
      <c r="G997" s="11"/>
      <c r="H997" s="11"/>
      <c r="I997" s="11"/>
    </row>
    <row r="998" spans="4:9" ht="14.25" customHeight="1" x14ac:dyDescent="0.2">
      <c r="D998" s="34"/>
      <c r="F998" s="11"/>
      <c r="G998" s="11"/>
      <c r="H998" s="11"/>
      <c r="I998" s="11"/>
    </row>
    <row r="999" spans="4:9" ht="14.25" customHeight="1" x14ac:dyDescent="0.2">
      <c r="D999" s="34"/>
      <c r="F999" s="11"/>
      <c r="G999" s="11"/>
      <c r="H999" s="11"/>
      <c r="I999" s="11"/>
    </row>
    <row r="1000" spans="4:9" ht="14.25" customHeight="1" x14ac:dyDescent="0.2">
      <c r="D1000" s="34"/>
      <c r="F1000" s="11"/>
      <c r="G1000" s="11"/>
      <c r="H1000" s="11"/>
      <c r="I1000" s="11"/>
    </row>
  </sheetData>
  <pageMargins left="0.41666666666666669" right="0.23958333333333334" top="1.1354166666666667" bottom="0.75" header="0" footer="0"/>
  <pageSetup orientation="landscape"/>
  <headerFooter>
    <oddHeader>&amp;CAcademia Antonia Alonso Summary by FY-Fund-Appr FY15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0"/>
  <sheetViews>
    <sheetView workbookViewId="0"/>
  </sheetViews>
  <sheetFormatPr baseColWidth="10" defaultColWidth="12.5" defaultRowHeight="15" customHeight="1" x14ac:dyDescent="0.15"/>
  <cols>
    <col min="1" max="1" width="13.1640625" customWidth="1"/>
    <col min="2" max="26" width="10" customWidth="1"/>
  </cols>
  <sheetData>
    <row r="1" spans="1:4" ht="14.25" customHeight="1" x14ac:dyDescent="0.15"/>
    <row r="2" spans="1:4" ht="14.25" customHeight="1" x14ac:dyDescent="0.15"/>
    <row r="3" spans="1:4" ht="14.25" customHeight="1" x14ac:dyDescent="0.15"/>
    <row r="4" spans="1:4" ht="14.25" customHeight="1" x14ac:dyDescent="0.15"/>
    <row r="5" spans="1:4" ht="14.25" customHeight="1" x14ac:dyDescent="0.2">
      <c r="B5" s="2" t="s">
        <v>0</v>
      </c>
    </row>
    <row r="6" spans="1:4" ht="14.25" customHeight="1" x14ac:dyDescent="0.2">
      <c r="A6" s="6" t="s">
        <v>3</v>
      </c>
      <c r="B6" s="2">
        <f>51961.44+6461.54</f>
        <v>58422.98</v>
      </c>
    </row>
    <row r="7" spans="1:4" ht="14.25" customHeight="1" x14ac:dyDescent="0.2">
      <c r="A7" s="6" t="s">
        <v>12</v>
      </c>
      <c r="B7" s="2">
        <f>199419.66+50313.11</f>
        <v>249732.77000000002</v>
      </c>
    </row>
    <row r="8" spans="1:4" ht="14.25" customHeight="1" x14ac:dyDescent="0.2">
      <c r="A8" s="6" t="s">
        <v>13</v>
      </c>
      <c r="B8" s="2">
        <v>8746</v>
      </c>
      <c r="C8" s="2">
        <f>1355.5*14</f>
        <v>18977</v>
      </c>
      <c r="D8" s="2">
        <f>+C8+B8</f>
        <v>27723</v>
      </c>
    </row>
    <row r="9" spans="1:4" ht="14.25" customHeight="1" x14ac:dyDescent="0.2">
      <c r="A9" s="6" t="s">
        <v>16</v>
      </c>
      <c r="B9" s="2">
        <f>5760+5760</f>
        <v>11520</v>
      </c>
    </row>
    <row r="10" spans="1:4" ht="14.25" customHeight="1" x14ac:dyDescent="0.15">
      <c r="A10" s="6" t="s">
        <v>20</v>
      </c>
    </row>
    <row r="11" spans="1:4" ht="14.25" customHeight="1" x14ac:dyDescent="0.2">
      <c r="A11" s="6" t="s">
        <v>21</v>
      </c>
      <c r="B11" s="2">
        <f>32501.97+18585.97</f>
        <v>51087.94</v>
      </c>
    </row>
    <row r="12" spans="1:4" ht="14.25" customHeight="1" x14ac:dyDescent="0.15">
      <c r="A12" s="6" t="s">
        <v>24</v>
      </c>
    </row>
    <row r="13" spans="1:4" ht="14.25" customHeight="1" x14ac:dyDescent="0.15">
      <c r="A13" s="6" t="s">
        <v>27</v>
      </c>
    </row>
    <row r="14" spans="1:4" ht="14.25" customHeight="1" x14ac:dyDescent="0.2">
      <c r="A14" s="6" t="s">
        <v>28</v>
      </c>
      <c r="B14" s="2">
        <f>23769.3+12592.33</f>
        <v>36361.629999999997</v>
      </c>
      <c r="C14" s="2">
        <f>1102.82*12+858.69*14+905.9*14</f>
        <v>37938.1</v>
      </c>
      <c r="D14" s="2">
        <f>+C14+B14</f>
        <v>74299.73</v>
      </c>
    </row>
    <row r="15" spans="1:4" ht="14.25" customHeight="1" x14ac:dyDescent="0.15">
      <c r="A15" s="6" t="s">
        <v>34</v>
      </c>
    </row>
    <row r="16" spans="1:4" ht="14.25" customHeight="1" x14ac:dyDescent="0.15">
      <c r="A16" s="6" t="s">
        <v>35</v>
      </c>
    </row>
    <row r="17" spans="1:7" ht="14.25" customHeight="1" x14ac:dyDescent="0.15"/>
    <row r="18" spans="1:7" ht="14.25" customHeight="1" x14ac:dyDescent="0.15"/>
    <row r="19" spans="1:7" ht="14.25" customHeight="1" x14ac:dyDescent="0.15">
      <c r="A19" s="8" t="s">
        <v>21</v>
      </c>
    </row>
    <row r="20" spans="1:7" ht="14.25" customHeight="1" x14ac:dyDescent="0.2">
      <c r="A20" s="8" t="s">
        <v>36</v>
      </c>
      <c r="B20" s="2">
        <f>3273.81+4912.25+6553.76+3273.81*7+3273.81*12</f>
        <v>76942.209999999992</v>
      </c>
    </row>
    <row r="21" spans="1:7" ht="14.25" customHeight="1" x14ac:dyDescent="0.2">
      <c r="A21" s="8" t="s">
        <v>37</v>
      </c>
      <c r="B21" s="2">
        <f>3846.1583+1871.51</f>
        <v>5717.6683000000003</v>
      </c>
    </row>
    <row r="22" spans="1:7" ht="14.25" customHeight="1" x14ac:dyDescent="0.2">
      <c r="B22" s="2">
        <f>SUM(B20:B21)</f>
        <v>82659.878299999997</v>
      </c>
    </row>
    <row r="23" spans="1:7" ht="14.25" customHeight="1" x14ac:dyDescent="0.15">
      <c r="A23" s="8" t="s">
        <v>3</v>
      </c>
    </row>
    <row r="24" spans="1:7" ht="14.25" customHeight="1" x14ac:dyDescent="0.2">
      <c r="A24" s="8" t="s">
        <v>40</v>
      </c>
      <c r="B24" s="2">
        <f>3230.77*5+4281.9+5685.82</f>
        <v>26121.57</v>
      </c>
    </row>
    <row r="25" spans="1:7" ht="14.25" customHeight="1" x14ac:dyDescent="0.2">
      <c r="A25" s="8" t="s">
        <v>42</v>
      </c>
      <c r="B25" s="2">
        <v>35824</v>
      </c>
    </row>
    <row r="26" spans="1:7" ht="14.25" customHeight="1" x14ac:dyDescent="0.2">
      <c r="B26" s="2">
        <f>SUM(B24:B25)</f>
        <v>61945.57</v>
      </c>
      <c r="G26" s="2">
        <v>11543</v>
      </c>
    </row>
    <row r="27" spans="1:7" ht="14.25" customHeight="1" x14ac:dyDescent="0.2">
      <c r="A27" s="8" t="s">
        <v>46</v>
      </c>
      <c r="C27" s="12" t="s">
        <v>47</v>
      </c>
      <c r="D27" s="12" t="s">
        <v>48</v>
      </c>
      <c r="F27" s="2" t="s">
        <v>49</v>
      </c>
    </row>
    <row r="28" spans="1:7" ht="14.25" customHeight="1" x14ac:dyDescent="0.2">
      <c r="A28" s="8" t="s">
        <v>50</v>
      </c>
      <c r="B28" s="2" t="s">
        <v>51</v>
      </c>
      <c r="C28" s="2">
        <v>35243</v>
      </c>
      <c r="D28" s="25">
        <v>35243</v>
      </c>
      <c r="F28" s="2">
        <v>0</v>
      </c>
    </row>
    <row r="29" spans="1:7" ht="14.25" customHeight="1" x14ac:dyDescent="0.2">
      <c r="A29" s="8" t="s">
        <v>57</v>
      </c>
      <c r="B29" s="2" t="s">
        <v>58</v>
      </c>
      <c r="C29" s="2">
        <f>1355.5*26</f>
        <v>35243</v>
      </c>
      <c r="D29" s="25">
        <v>36030</v>
      </c>
      <c r="F29" s="2">
        <v>707.65</v>
      </c>
      <c r="G29" s="2">
        <f t="shared" ref="G29:G39" si="0">+F29*13</f>
        <v>9199.4499999999989</v>
      </c>
    </row>
    <row r="30" spans="1:7" ht="14.25" customHeight="1" x14ac:dyDescent="0.2">
      <c r="A30" s="8" t="s">
        <v>67</v>
      </c>
      <c r="B30" s="2" t="s">
        <v>68</v>
      </c>
      <c r="C30" s="2">
        <v>36436</v>
      </c>
      <c r="D30" s="25">
        <f>58938*64.44%</f>
        <v>37979.647199999999</v>
      </c>
      <c r="F30" s="2">
        <v>0</v>
      </c>
      <c r="G30" s="2">
        <f t="shared" si="0"/>
        <v>0</v>
      </c>
    </row>
    <row r="31" spans="1:7" ht="14.25" customHeight="1" x14ac:dyDescent="0.2">
      <c r="A31" s="8" t="s">
        <v>70</v>
      </c>
      <c r="B31" s="2" t="s">
        <v>51</v>
      </c>
      <c r="C31" s="2">
        <v>35243</v>
      </c>
      <c r="D31" s="25">
        <v>35243</v>
      </c>
      <c r="F31" s="2">
        <v>268.17</v>
      </c>
      <c r="G31" s="2">
        <f t="shared" si="0"/>
        <v>3486.21</v>
      </c>
    </row>
    <row r="32" spans="1:7" ht="14.25" customHeight="1" x14ac:dyDescent="0.2">
      <c r="A32" s="8" t="s">
        <v>72</v>
      </c>
      <c r="B32" s="2" t="s">
        <v>73</v>
      </c>
      <c r="C32" s="2">
        <v>25421</v>
      </c>
      <c r="D32" s="25">
        <f>39449*64.44%</f>
        <v>25420.935600000001</v>
      </c>
      <c r="G32" s="2">
        <f t="shared" si="0"/>
        <v>0</v>
      </c>
    </row>
    <row r="33" spans="1:7" ht="14.25" customHeight="1" x14ac:dyDescent="0.2">
      <c r="A33" s="8" t="s">
        <v>74</v>
      </c>
      <c r="B33" s="2" t="s">
        <v>75</v>
      </c>
      <c r="C33" s="2">
        <v>58938</v>
      </c>
      <c r="D33" s="25">
        <v>54752</v>
      </c>
      <c r="F33" s="2">
        <v>705.83</v>
      </c>
      <c r="G33" s="2">
        <f t="shared" si="0"/>
        <v>9175.7900000000009</v>
      </c>
    </row>
    <row r="34" spans="1:7" ht="14.25" customHeight="1" x14ac:dyDescent="0.2">
      <c r="A34" s="8" t="s">
        <v>76</v>
      </c>
      <c r="B34" s="2" t="s">
        <v>51</v>
      </c>
      <c r="C34" s="2">
        <v>35243</v>
      </c>
      <c r="D34" s="25">
        <v>35243</v>
      </c>
      <c r="G34" s="2">
        <f t="shared" si="0"/>
        <v>0</v>
      </c>
    </row>
    <row r="35" spans="1:7" ht="14.25" customHeight="1" x14ac:dyDescent="0.2">
      <c r="A35" s="8" t="s">
        <v>77</v>
      </c>
      <c r="B35" s="2" t="s">
        <v>78</v>
      </c>
      <c r="C35" s="2">
        <v>40447</v>
      </c>
      <c r="D35" s="25">
        <v>40447</v>
      </c>
      <c r="F35" s="2">
        <v>270.12</v>
      </c>
      <c r="G35" s="2">
        <f t="shared" si="0"/>
        <v>3511.56</v>
      </c>
    </row>
    <row r="36" spans="1:7" ht="14.25" customHeight="1" x14ac:dyDescent="0.2">
      <c r="A36" s="8" t="s">
        <v>82</v>
      </c>
      <c r="B36" s="2" t="s">
        <v>51</v>
      </c>
      <c r="C36" s="2">
        <v>35243</v>
      </c>
      <c r="D36" s="25">
        <v>35243</v>
      </c>
      <c r="F36" s="2">
        <v>263.72000000000003</v>
      </c>
      <c r="G36" s="2">
        <f t="shared" si="0"/>
        <v>3428.3600000000006</v>
      </c>
    </row>
    <row r="37" spans="1:7" ht="14.25" customHeight="1" x14ac:dyDescent="0.2">
      <c r="A37" s="8" t="s">
        <v>83</v>
      </c>
      <c r="B37" s="2" t="s">
        <v>84</v>
      </c>
      <c r="C37" s="2">
        <v>46700</v>
      </c>
      <c r="D37" s="25">
        <v>48620</v>
      </c>
      <c r="F37" s="2">
        <v>705.83</v>
      </c>
      <c r="G37" s="2">
        <f t="shared" si="0"/>
        <v>9175.7900000000009</v>
      </c>
    </row>
    <row r="38" spans="1:7" ht="14.25" customHeight="1" x14ac:dyDescent="0.2">
      <c r="A38" s="8" t="s">
        <v>85</v>
      </c>
      <c r="B38" s="2" t="s">
        <v>86</v>
      </c>
      <c r="C38" s="2">
        <v>25065</v>
      </c>
      <c r="D38" s="25">
        <f>40447*64.44%</f>
        <v>26064.0468</v>
      </c>
      <c r="G38" s="2">
        <f t="shared" si="0"/>
        <v>0</v>
      </c>
    </row>
    <row r="39" spans="1:7" ht="14.25" customHeight="1" x14ac:dyDescent="0.2">
      <c r="A39" s="8" t="s">
        <v>89</v>
      </c>
      <c r="B39" s="2" t="s">
        <v>90</v>
      </c>
      <c r="C39" s="2">
        <v>48111</v>
      </c>
      <c r="D39" s="25">
        <v>52985</v>
      </c>
      <c r="F39" s="2">
        <v>268.17</v>
      </c>
      <c r="G39" s="2">
        <f t="shared" si="0"/>
        <v>3486.21</v>
      </c>
    </row>
    <row r="40" spans="1:7" ht="14.25" customHeight="1" x14ac:dyDescent="0.2">
      <c r="A40" s="8" t="s">
        <v>93</v>
      </c>
      <c r="B40" s="2" t="s">
        <v>94</v>
      </c>
      <c r="D40" s="25">
        <f>723.17+1446.35*8+4400.79</f>
        <v>16694.759999999998</v>
      </c>
    </row>
    <row r="41" spans="1:7" ht="14.25" customHeight="1" x14ac:dyDescent="0.2">
      <c r="A41" s="8" t="s">
        <v>96</v>
      </c>
      <c r="B41" s="2" t="s">
        <v>94</v>
      </c>
      <c r="D41" s="25">
        <f>4400.87+1760.35*6+3115.23</f>
        <v>18078.199999999997</v>
      </c>
    </row>
    <row r="42" spans="1:7" ht="14.25" customHeight="1" x14ac:dyDescent="0.2">
      <c r="A42" s="8" t="s">
        <v>97</v>
      </c>
      <c r="D42" s="25">
        <f>856.83+1713.65+1235.73</f>
        <v>3806.21</v>
      </c>
    </row>
    <row r="43" spans="1:7" ht="14.25" customHeight="1" x14ac:dyDescent="0.2">
      <c r="A43" s="8" t="s">
        <v>98</v>
      </c>
      <c r="D43" s="25">
        <v>18243</v>
      </c>
      <c r="F43" s="2">
        <v>700</v>
      </c>
      <c r="G43" s="2">
        <f>+F43*9</f>
        <v>6300</v>
      </c>
    </row>
    <row r="44" spans="1:7" ht="14.25" customHeight="1" x14ac:dyDescent="0.2">
      <c r="A44" s="8" t="s">
        <v>98</v>
      </c>
      <c r="D44" s="25">
        <v>18243</v>
      </c>
      <c r="F44" s="2">
        <v>700</v>
      </c>
      <c r="G44" s="2">
        <f>+F44*9</f>
        <v>6300</v>
      </c>
    </row>
    <row r="45" spans="1:7" ht="14.25" customHeight="1" x14ac:dyDescent="0.2">
      <c r="D45" s="25">
        <f>SUM(D28:D44)</f>
        <v>538335.79960000003</v>
      </c>
      <c r="G45" s="2">
        <f>SUM(G26:G44)</f>
        <v>65606.37</v>
      </c>
    </row>
    <row r="46" spans="1:7" ht="14.25" customHeight="1" x14ac:dyDescent="0.2">
      <c r="A46" s="8" t="s">
        <v>13</v>
      </c>
      <c r="F46" s="2">
        <v>711.52</v>
      </c>
      <c r="G46" s="2">
        <f>+F46*13</f>
        <v>9249.76</v>
      </c>
    </row>
    <row r="47" spans="1:7" ht="14.25" customHeight="1" x14ac:dyDescent="0.2">
      <c r="A47" s="8" t="s">
        <v>101</v>
      </c>
      <c r="F47" s="2">
        <v>410.64</v>
      </c>
      <c r="G47" s="2">
        <f>+F47*11</f>
        <v>4517.04</v>
      </c>
    </row>
    <row r="48" spans="1:7" ht="14.25" customHeight="1" x14ac:dyDescent="0.2">
      <c r="A48" s="8" t="s">
        <v>21</v>
      </c>
      <c r="F48" s="2">
        <v>272.08999999999997</v>
      </c>
      <c r="G48" s="2">
        <f>+F48*11</f>
        <v>2992.99</v>
      </c>
    </row>
    <row r="49" spans="1:7" ht="14.25" customHeight="1" x14ac:dyDescent="0.2">
      <c r="A49" s="8" t="s">
        <v>3</v>
      </c>
      <c r="F49" s="2">
        <v>419.33</v>
      </c>
      <c r="G49" s="2">
        <f>+F49*5</f>
        <v>2096.65</v>
      </c>
    </row>
    <row r="50" spans="1:7" ht="14.25" customHeight="1" x14ac:dyDescent="0.2">
      <c r="A50" s="8" t="s">
        <v>102</v>
      </c>
      <c r="F50" s="2">
        <f>711.52+412.7</f>
        <v>1124.22</v>
      </c>
      <c r="G50" s="2">
        <f>+F50*13</f>
        <v>14614.86</v>
      </c>
    </row>
    <row r="51" spans="1:7" ht="14.25" customHeight="1" x14ac:dyDescent="0.2">
      <c r="G51" s="2">
        <f>SUM(G45:G49)</f>
        <v>84462.809999999983</v>
      </c>
    </row>
    <row r="52" spans="1:7" ht="14.25" customHeight="1" x14ac:dyDescent="0.15"/>
    <row r="53" spans="1:7" ht="14.25" customHeight="1" x14ac:dyDescent="0.15"/>
    <row r="54" spans="1:7" ht="14.25" customHeight="1" x14ac:dyDescent="0.15"/>
    <row r="55" spans="1:7" ht="14.25" customHeight="1" x14ac:dyDescent="0.15"/>
    <row r="56" spans="1:7" ht="14.25" customHeight="1" x14ac:dyDescent="0.15"/>
    <row r="57" spans="1:7" ht="14.25" customHeight="1" x14ac:dyDescent="0.15"/>
    <row r="58" spans="1:7" ht="14.25" customHeight="1" x14ac:dyDescent="0.15"/>
    <row r="59" spans="1:7" ht="14.25" customHeight="1" x14ac:dyDescent="0.15"/>
    <row r="60" spans="1:7" ht="14.25" customHeight="1" x14ac:dyDescent="0.15"/>
    <row r="61" spans="1:7" ht="14.25" customHeight="1" x14ac:dyDescent="0.15"/>
    <row r="62" spans="1:7" ht="14.25" customHeight="1" x14ac:dyDescent="0.15"/>
    <row r="63" spans="1:7" ht="14.25" customHeight="1" x14ac:dyDescent="0.15"/>
    <row r="64" spans="1:7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pageMargins left="0.75" right="0.75" top="1" bottom="1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015"/>
  <sheetViews>
    <sheetView zoomScale="150" zoomScaleNormal="150" workbookViewId="0">
      <pane ySplit="6" topLeftCell="A32" activePane="bottomLeft" state="frozen"/>
      <selection pane="bottomLeft" activeCell="I61" sqref="I61"/>
    </sheetView>
  </sheetViews>
  <sheetFormatPr baseColWidth="10" defaultColWidth="12.5" defaultRowHeight="15" customHeight="1" x14ac:dyDescent="0.15"/>
  <cols>
    <col min="1" max="3" width="10" customWidth="1"/>
    <col min="4" max="4" width="27" customWidth="1"/>
    <col min="5" max="5" width="14.6640625" customWidth="1"/>
    <col min="6" max="6" width="11.1640625" customWidth="1"/>
    <col min="7" max="7" width="11.5" customWidth="1"/>
    <col min="8" max="8" width="13.33203125" customWidth="1"/>
    <col min="9" max="9" width="15.5" customWidth="1"/>
    <col min="10" max="10" width="10" customWidth="1"/>
    <col min="11" max="11" width="11.1640625" customWidth="1"/>
    <col min="12" max="26" width="10" customWidth="1"/>
  </cols>
  <sheetData>
    <row r="1" spans="1:10" ht="14.25" customHeight="1" x14ac:dyDescent="0.15"/>
    <row r="2" spans="1:10" ht="14.25" customHeight="1" x14ac:dyDescent="0.25">
      <c r="A2" s="205" t="s">
        <v>2</v>
      </c>
      <c r="B2" s="201"/>
      <c r="C2" s="201"/>
      <c r="D2" s="201"/>
      <c r="E2" s="201"/>
      <c r="F2" s="201"/>
      <c r="G2" s="201"/>
      <c r="H2" s="201"/>
      <c r="I2" s="201"/>
      <c r="J2" s="201"/>
    </row>
    <row r="3" spans="1:10" ht="14.25" customHeight="1" x14ac:dyDescent="0.25">
      <c r="A3" s="205" t="s">
        <v>111</v>
      </c>
      <c r="B3" s="201"/>
      <c r="C3" s="201"/>
      <c r="D3" s="201"/>
      <c r="E3" s="201"/>
      <c r="F3" s="201"/>
      <c r="G3" s="201"/>
      <c r="H3" s="201"/>
      <c r="I3" s="201"/>
      <c r="J3" s="201"/>
    </row>
    <row r="4" spans="1:10" ht="14.25" customHeight="1" x14ac:dyDescent="0.25">
      <c r="A4" s="205" t="str">
        <f>VLOOKUP('Cash Flow'!$L$7,'Cash Flow'!$AG$4:$AJ$20,4)</f>
        <v>As of April 30, 2021</v>
      </c>
      <c r="B4" s="201"/>
      <c r="C4" s="201"/>
      <c r="D4" s="201"/>
      <c r="E4" s="201"/>
      <c r="F4" s="201"/>
      <c r="G4" s="201"/>
      <c r="H4" s="201"/>
      <c r="I4" s="201"/>
      <c r="J4" s="201"/>
    </row>
    <row r="5" spans="1:10" ht="14.25" customHeight="1" x14ac:dyDescent="0.15"/>
    <row r="6" spans="1:10" ht="27.75" customHeight="1" x14ac:dyDescent="0.15">
      <c r="A6" s="3" t="s">
        <v>1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112</v>
      </c>
      <c r="I6" s="3" t="s">
        <v>10</v>
      </c>
      <c r="J6" s="3" t="s">
        <v>11</v>
      </c>
    </row>
    <row r="7" spans="1:10" ht="14.25" customHeight="1" x14ac:dyDescent="0.15">
      <c r="A7" s="45">
        <v>2021</v>
      </c>
      <c r="B7" s="45">
        <v>111</v>
      </c>
      <c r="C7" s="47" t="s">
        <v>18</v>
      </c>
      <c r="D7" s="48" t="s">
        <v>113</v>
      </c>
      <c r="E7" s="49">
        <v>2759666</v>
      </c>
      <c r="F7" s="50">
        <v>47722</v>
      </c>
      <c r="G7" s="50">
        <v>2525358.91</v>
      </c>
      <c r="I7" s="50">
        <f t="shared" ref="I7:I13" si="0">E7-F7-G7</f>
        <v>186585.08999999985</v>
      </c>
      <c r="J7" s="51">
        <v>44377</v>
      </c>
    </row>
    <row r="8" spans="1:10" s="181" customFormat="1" ht="14.25" customHeight="1" x14ac:dyDescent="0.15">
      <c r="A8" s="45">
        <v>2021</v>
      </c>
      <c r="B8" s="45">
        <v>111</v>
      </c>
      <c r="C8" s="52" t="s">
        <v>322</v>
      </c>
      <c r="D8" s="48" t="s">
        <v>323</v>
      </c>
      <c r="E8" s="161">
        <v>316311</v>
      </c>
      <c r="F8" s="162"/>
      <c r="G8" s="162">
        <v>243285.79</v>
      </c>
      <c r="I8" s="50">
        <f t="shared" si="0"/>
        <v>73025.209999999992</v>
      </c>
      <c r="J8" s="51">
        <v>44377</v>
      </c>
    </row>
    <row r="9" spans="1:10" s="187" customFormat="1" ht="14.25" customHeight="1" x14ac:dyDescent="0.15">
      <c r="A9" s="45">
        <v>2021</v>
      </c>
      <c r="B9" s="45">
        <v>111</v>
      </c>
      <c r="C9" s="52" t="s">
        <v>335</v>
      </c>
      <c r="D9" s="48" t="s">
        <v>336</v>
      </c>
      <c r="E9" s="161">
        <v>57714.46</v>
      </c>
      <c r="F9" s="162"/>
      <c r="G9" s="162">
        <v>10573.03</v>
      </c>
      <c r="I9" s="50">
        <f t="shared" si="0"/>
        <v>47141.43</v>
      </c>
      <c r="J9" s="51">
        <v>44377</v>
      </c>
    </row>
    <row r="10" spans="1:10" s="198" customFormat="1" ht="14.25" customHeight="1" x14ac:dyDescent="0.15">
      <c r="A10" s="45">
        <v>2021</v>
      </c>
      <c r="B10" s="45">
        <v>111</v>
      </c>
      <c r="C10" s="52" t="s">
        <v>354</v>
      </c>
      <c r="D10" s="48" t="s">
        <v>355</v>
      </c>
      <c r="E10" s="161">
        <v>8526</v>
      </c>
      <c r="F10" s="162"/>
      <c r="G10" s="162"/>
      <c r="I10" s="50">
        <f t="shared" si="0"/>
        <v>8526</v>
      </c>
      <c r="J10" s="51">
        <v>44377</v>
      </c>
    </row>
    <row r="11" spans="1:10" s="158" customFormat="1" ht="14.25" customHeight="1" x14ac:dyDescent="0.15">
      <c r="A11" s="45">
        <v>2021</v>
      </c>
      <c r="B11" s="45">
        <v>111</v>
      </c>
      <c r="C11" s="52" t="s">
        <v>324</v>
      </c>
      <c r="D11" s="48" t="s">
        <v>325</v>
      </c>
      <c r="E11" s="161">
        <v>142</v>
      </c>
      <c r="F11" s="162"/>
      <c r="G11" s="162"/>
      <c r="I11" s="50">
        <f t="shared" si="0"/>
        <v>142</v>
      </c>
      <c r="J11" s="51">
        <v>44377</v>
      </c>
    </row>
    <row r="12" spans="1:10" ht="14.25" customHeight="1" x14ac:dyDescent="0.15">
      <c r="A12" s="45">
        <v>2021</v>
      </c>
      <c r="B12" s="45">
        <v>111</v>
      </c>
      <c r="C12" s="47" t="s">
        <v>14</v>
      </c>
      <c r="D12" s="48" t="s">
        <v>15</v>
      </c>
      <c r="E12" s="49">
        <v>9965</v>
      </c>
      <c r="F12" s="50"/>
      <c r="G12" s="50">
        <v>9965</v>
      </c>
      <c r="H12" s="50"/>
      <c r="I12" s="50">
        <f t="shared" si="0"/>
        <v>0</v>
      </c>
      <c r="J12" s="51">
        <v>44377</v>
      </c>
    </row>
    <row r="13" spans="1:10" s="194" customFormat="1" ht="14.25" customHeight="1" x14ac:dyDescent="0.15">
      <c r="A13" s="45">
        <v>2021</v>
      </c>
      <c r="B13" s="45">
        <v>111</v>
      </c>
      <c r="C13" s="52" t="s">
        <v>347</v>
      </c>
      <c r="D13" s="48" t="s">
        <v>348</v>
      </c>
      <c r="E13" s="161">
        <v>515179.04</v>
      </c>
      <c r="F13" s="162"/>
      <c r="G13" s="162">
        <v>358121.02</v>
      </c>
      <c r="H13" s="162"/>
      <c r="I13" s="162">
        <f t="shared" si="0"/>
        <v>157058.01999999996</v>
      </c>
      <c r="J13" s="195" t="s">
        <v>349</v>
      </c>
    </row>
    <row r="14" spans="1:10" ht="14.25" customHeight="1" x14ac:dyDescent="0.15">
      <c r="A14" s="45">
        <v>2021</v>
      </c>
      <c r="B14" s="45">
        <v>111</v>
      </c>
      <c r="C14" s="47" t="s">
        <v>29</v>
      </c>
      <c r="D14" s="48" t="s">
        <v>30</v>
      </c>
      <c r="E14" s="49">
        <v>74457</v>
      </c>
      <c r="F14" s="50"/>
      <c r="G14" s="50">
        <v>74457</v>
      </c>
      <c r="H14" s="50"/>
      <c r="I14" s="50">
        <f t="shared" ref="I14:I25" si="1">E14-F14-G14-H14</f>
        <v>0</v>
      </c>
      <c r="J14" s="51">
        <v>44377</v>
      </c>
    </row>
    <row r="15" spans="1:10" ht="14.25" customHeight="1" x14ac:dyDescent="0.15">
      <c r="A15" s="45">
        <v>2019</v>
      </c>
      <c r="B15" s="45">
        <v>111</v>
      </c>
      <c r="C15" s="52" t="s">
        <v>116</v>
      </c>
      <c r="D15" s="48" t="s">
        <v>117</v>
      </c>
      <c r="E15" s="49">
        <v>15107.94</v>
      </c>
      <c r="F15" s="50"/>
      <c r="G15" s="50"/>
      <c r="H15" s="50">
        <v>12266.57</v>
      </c>
      <c r="I15" s="50">
        <f t="shared" si="1"/>
        <v>2841.3700000000008</v>
      </c>
      <c r="J15" s="51">
        <v>44377</v>
      </c>
    </row>
    <row r="16" spans="1:10" ht="14.25" customHeight="1" x14ac:dyDescent="0.15">
      <c r="A16" s="45">
        <v>2021</v>
      </c>
      <c r="B16" s="45">
        <v>111</v>
      </c>
      <c r="C16" s="47" t="s">
        <v>121</v>
      </c>
      <c r="D16" s="48" t="s">
        <v>122</v>
      </c>
      <c r="E16" s="49">
        <v>50650</v>
      </c>
      <c r="F16" s="50"/>
      <c r="G16" s="50">
        <v>25215.15</v>
      </c>
      <c r="H16" s="50"/>
      <c r="I16" s="50">
        <f t="shared" si="1"/>
        <v>25434.85</v>
      </c>
      <c r="J16" s="51">
        <v>44377</v>
      </c>
    </row>
    <row r="17" spans="1:11" s="196" customFormat="1" ht="14.25" customHeight="1" x14ac:dyDescent="0.15">
      <c r="A17" s="45">
        <v>2021</v>
      </c>
      <c r="B17" s="45">
        <v>111</v>
      </c>
      <c r="C17" s="52" t="s">
        <v>118</v>
      </c>
      <c r="D17" s="48" t="s">
        <v>351</v>
      </c>
      <c r="E17" s="161">
        <v>140.41999999999999</v>
      </c>
      <c r="F17" s="162"/>
      <c r="G17" s="162"/>
      <c r="H17" s="162"/>
      <c r="I17" s="50">
        <f t="shared" si="1"/>
        <v>140.41999999999999</v>
      </c>
      <c r="J17" s="51">
        <v>44377</v>
      </c>
    </row>
    <row r="18" spans="1:11" s="199" customFormat="1" ht="14.25" customHeight="1" x14ac:dyDescent="0.15">
      <c r="A18" s="45">
        <v>2021</v>
      </c>
      <c r="B18" s="45">
        <v>111</v>
      </c>
      <c r="C18" s="52" t="s">
        <v>356</v>
      </c>
      <c r="D18" s="48" t="s">
        <v>357</v>
      </c>
      <c r="E18" s="161">
        <v>2420</v>
      </c>
      <c r="F18" s="162"/>
      <c r="G18" s="162"/>
      <c r="H18" s="162"/>
      <c r="I18" s="162">
        <f t="shared" si="1"/>
        <v>2420</v>
      </c>
      <c r="J18" s="51">
        <v>44377</v>
      </c>
    </row>
    <row r="19" spans="1:11" ht="14.25" customHeight="1" x14ac:dyDescent="0.15">
      <c r="A19" s="45">
        <v>2020</v>
      </c>
      <c r="B19" s="45">
        <v>111</v>
      </c>
      <c r="C19" s="52" t="s">
        <v>121</v>
      </c>
      <c r="D19" s="48" t="s">
        <v>122</v>
      </c>
      <c r="E19" s="49">
        <v>45700</v>
      </c>
      <c r="F19" s="50"/>
      <c r="G19" s="50">
        <v>10522.43</v>
      </c>
      <c r="H19" s="50">
        <v>35177.57</v>
      </c>
      <c r="I19" s="50">
        <f t="shared" si="1"/>
        <v>0</v>
      </c>
      <c r="J19" s="51">
        <v>44377</v>
      </c>
      <c r="K19" s="182"/>
    </row>
    <row r="20" spans="1:11" s="179" customFormat="1" ht="14.25" customHeight="1" x14ac:dyDescent="0.15">
      <c r="A20" s="45">
        <v>2020</v>
      </c>
      <c r="B20" s="45">
        <v>111</v>
      </c>
      <c r="C20" s="52" t="s">
        <v>334</v>
      </c>
      <c r="D20" s="48" t="s">
        <v>130</v>
      </c>
      <c r="E20" s="161">
        <v>96350</v>
      </c>
      <c r="F20" s="162"/>
      <c r="G20" s="162">
        <v>35737.620000000003</v>
      </c>
      <c r="H20" s="162">
        <v>35177.43</v>
      </c>
      <c r="I20" s="50">
        <f t="shared" si="1"/>
        <v>25434.949999999997</v>
      </c>
      <c r="J20" s="51">
        <v>44377</v>
      </c>
      <c r="K20" s="182"/>
    </row>
    <row r="21" spans="1:11" ht="14.25" customHeight="1" x14ac:dyDescent="0.15">
      <c r="A21" s="45">
        <v>2020</v>
      </c>
      <c r="B21" s="45">
        <v>111</v>
      </c>
      <c r="C21" s="47" t="s">
        <v>18</v>
      </c>
      <c r="D21" s="48" t="s">
        <v>113</v>
      </c>
      <c r="E21" s="49">
        <v>3646802</v>
      </c>
      <c r="F21" s="50"/>
      <c r="G21" s="50">
        <v>6386.48</v>
      </c>
      <c r="H21" s="50">
        <v>3636677.17</v>
      </c>
      <c r="I21" s="50">
        <f t="shared" si="1"/>
        <v>3738.3500000000931</v>
      </c>
      <c r="J21" s="51">
        <v>44377</v>
      </c>
    </row>
    <row r="22" spans="1:11" s="187" customFormat="1" ht="14.25" customHeight="1" x14ac:dyDescent="0.15">
      <c r="A22" s="45">
        <v>2020</v>
      </c>
      <c r="B22" s="45">
        <v>111</v>
      </c>
      <c r="C22" s="52" t="s">
        <v>337</v>
      </c>
      <c r="D22" s="48" t="s">
        <v>338</v>
      </c>
      <c r="E22" s="161">
        <v>1160</v>
      </c>
      <c r="F22" s="162"/>
      <c r="G22" s="162">
        <v>1160</v>
      </c>
      <c r="H22" s="162"/>
      <c r="I22" s="50">
        <f t="shared" si="1"/>
        <v>0</v>
      </c>
      <c r="J22" s="51">
        <v>44377</v>
      </c>
    </row>
    <row r="23" spans="1:11" ht="14.25" customHeight="1" x14ac:dyDescent="0.15">
      <c r="A23" s="45">
        <v>2020</v>
      </c>
      <c r="B23" s="45">
        <v>711</v>
      </c>
      <c r="C23" s="47" t="s">
        <v>303</v>
      </c>
      <c r="D23" s="48" t="s">
        <v>117</v>
      </c>
      <c r="E23" s="49">
        <v>14598.15</v>
      </c>
      <c r="F23" s="50"/>
      <c r="G23" s="50"/>
      <c r="H23" s="50"/>
      <c r="I23" s="50">
        <f t="shared" si="1"/>
        <v>14598.15</v>
      </c>
      <c r="J23" s="51">
        <v>44742</v>
      </c>
    </row>
    <row r="24" spans="1:11" ht="14.25" customHeight="1" x14ac:dyDescent="0.15">
      <c r="A24" s="45">
        <v>2021</v>
      </c>
      <c r="B24" s="45">
        <v>711</v>
      </c>
      <c r="C24" s="47" t="s">
        <v>123</v>
      </c>
      <c r="D24" s="48" t="s">
        <v>124</v>
      </c>
      <c r="E24" s="49">
        <v>68817</v>
      </c>
      <c r="F24" s="50"/>
      <c r="G24" s="50">
        <v>68817</v>
      </c>
      <c r="H24" s="50"/>
      <c r="I24" s="50">
        <f t="shared" si="1"/>
        <v>0</v>
      </c>
      <c r="J24" s="51">
        <v>45107</v>
      </c>
    </row>
    <row r="25" spans="1:11" ht="14.25" customHeight="1" x14ac:dyDescent="0.15">
      <c r="A25" s="45">
        <v>2020</v>
      </c>
      <c r="B25" s="45">
        <v>711</v>
      </c>
      <c r="C25" s="47" t="s">
        <v>123</v>
      </c>
      <c r="D25" s="48" t="s">
        <v>124</v>
      </c>
      <c r="E25" s="49">
        <v>71001</v>
      </c>
      <c r="F25" s="50"/>
      <c r="G25" s="50">
        <v>71001</v>
      </c>
      <c r="H25" s="50"/>
      <c r="I25" s="50">
        <f t="shared" si="1"/>
        <v>0</v>
      </c>
      <c r="J25" s="51">
        <v>44742</v>
      </c>
    </row>
    <row r="26" spans="1:11" ht="14.25" customHeight="1" x14ac:dyDescent="0.15">
      <c r="A26" s="47"/>
      <c r="B26" s="47"/>
      <c r="C26" s="47"/>
      <c r="D26" s="53" t="s">
        <v>33</v>
      </c>
      <c r="E26" s="54">
        <f>SUM(E7:E25)</f>
        <v>7754707.0099999998</v>
      </c>
      <c r="F26" s="54">
        <f>SUM(F7:F25)</f>
        <v>47722</v>
      </c>
      <c r="G26" s="54">
        <f>SUM(G7:G25)</f>
        <v>3440600.43</v>
      </c>
      <c r="H26" s="54">
        <f>SUM(H7:H25)</f>
        <v>3719298.7399999998</v>
      </c>
      <c r="I26" s="54">
        <f>SUM(I7:I25)</f>
        <v>547085.83999999985</v>
      </c>
      <c r="J26" s="55"/>
      <c r="K26" s="197"/>
    </row>
    <row r="27" spans="1:11" ht="14.25" customHeight="1" x14ac:dyDescent="0.15">
      <c r="A27" s="47"/>
      <c r="B27" s="47"/>
      <c r="C27" s="47"/>
      <c r="D27" s="56"/>
      <c r="E27" s="57"/>
      <c r="F27" s="57"/>
      <c r="G27" s="50"/>
      <c r="H27" s="57"/>
      <c r="I27" s="57"/>
      <c r="J27" s="51"/>
    </row>
    <row r="28" spans="1:11" ht="14.25" customHeight="1" x14ac:dyDescent="0.15">
      <c r="A28" s="163" t="s">
        <v>131</v>
      </c>
      <c r="B28" s="163" t="s">
        <v>128</v>
      </c>
      <c r="C28" s="163" t="s">
        <v>80</v>
      </c>
      <c r="D28" s="164" t="s">
        <v>129</v>
      </c>
      <c r="E28" s="165">
        <v>41204</v>
      </c>
      <c r="F28" s="165"/>
      <c r="G28" s="165">
        <v>2</v>
      </c>
      <c r="H28" s="165">
        <v>41202</v>
      </c>
      <c r="I28" s="166">
        <f t="shared" ref="I28:I47" si="2">E28-F28-G28-H28</f>
        <v>0</v>
      </c>
      <c r="J28" s="167">
        <v>44530</v>
      </c>
    </row>
    <row r="29" spans="1:11" ht="14.25" customHeight="1" x14ac:dyDescent="0.15">
      <c r="A29" s="163" t="s">
        <v>132</v>
      </c>
      <c r="B29" s="163" t="s">
        <v>128</v>
      </c>
      <c r="C29" s="163" t="s">
        <v>80</v>
      </c>
      <c r="D29" s="164" t="s">
        <v>129</v>
      </c>
      <c r="E29" s="165">
        <v>48486</v>
      </c>
      <c r="F29" s="165"/>
      <c r="G29" s="165">
        <v>3169.66</v>
      </c>
      <c r="H29" s="165">
        <v>45316.34</v>
      </c>
      <c r="I29" s="166">
        <f t="shared" si="2"/>
        <v>0</v>
      </c>
      <c r="J29" s="167">
        <v>44530</v>
      </c>
    </row>
    <row r="30" spans="1:11" s="186" customFormat="1" ht="14.25" customHeight="1" x14ac:dyDescent="0.15">
      <c r="A30" s="163" t="s">
        <v>326</v>
      </c>
      <c r="B30" s="163" t="s">
        <v>128</v>
      </c>
      <c r="C30" s="163" t="s">
        <v>80</v>
      </c>
      <c r="D30" s="164" t="s">
        <v>129</v>
      </c>
      <c r="E30" s="168">
        <v>50036</v>
      </c>
      <c r="F30" s="168"/>
      <c r="G30" s="168">
        <v>22632.76</v>
      </c>
      <c r="H30" s="168"/>
      <c r="I30" s="166">
        <f t="shared" si="2"/>
        <v>27403.24</v>
      </c>
      <c r="J30" s="167">
        <v>44895</v>
      </c>
    </row>
    <row r="31" spans="1:11" ht="14.25" customHeight="1" x14ac:dyDescent="0.15">
      <c r="A31" s="163" t="s">
        <v>131</v>
      </c>
      <c r="B31" s="163" t="s">
        <v>128</v>
      </c>
      <c r="C31" s="163" t="s">
        <v>134</v>
      </c>
      <c r="D31" s="164" t="s">
        <v>135</v>
      </c>
      <c r="E31" s="165">
        <v>320000</v>
      </c>
      <c r="F31" s="165"/>
      <c r="G31" s="165">
        <v>38740.26</v>
      </c>
      <c r="H31" s="165">
        <v>281259.74</v>
      </c>
      <c r="I31" s="166">
        <f t="shared" si="2"/>
        <v>0</v>
      </c>
      <c r="J31" s="167">
        <v>44469</v>
      </c>
    </row>
    <row r="32" spans="1:11" s="179" customFormat="1" ht="14.25" customHeight="1" x14ac:dyDescent="0.15">
      <c r="A32" s="163" t="s">
        <v>132</v>
      </c>
      <c r="B32" s="163" t="s">
        <v>128</v>
      </c>
      <c r="C32" s="163" t="s">
        <v>134</v>
      </c>
      <c r="D32" s="164" t="s">
        <v>135</v>
      </c>
      <c r="E32" s="168">
        <v>348600</v>
      </c>
      <c r="F32" s="168">
        <v>7867.5</v>
      </c>
      <c r="G32" s="168">
        <v>274547.32</v>
      </c>
      <c r="H32" s="168">
        <v>29362.14</v>
      </c>
      <c r="I32" s="180">
        <f t="shared" si="2"/>
        <v>36823.039999999994</v>
      </c>
      <c r="J32" s="167">
        <v>44469</v>
      </c>
    </row>
    <row r="33" spans="1:11" ht="14.25" customHeight="1" x14ac:dyDescent="0.15">
      <c r="A33" s="163" t="s">
        <v>326</v>
      </c>
      <c r="B33" s="163" t="s">
        <v>128</v>
      </c>
      <c r="C33" s="163" t="s">
        <v>134</v>
      </c>
      <c r="D33" s="164" t="s">
        <v>135</v>
      </c>
      <c r="E33" s="165">
        <v>285800</v>
      </c>
      <c r="F33" s="165">
        <v>36000</v>
      </c>
      <c r="G33" s="165">
        <v>24434.01</v>
      </c>
      <c r="H33" s="165">
        <v>0</v>
      </c>
      <c r="I33" s="166">
        <f t="shared" si="2"/>
        <v>225365.99</v>
      </c>
      <c r="J33" s="167">
        <v>44469</v>
      </c>
    </row>
    <row r="34" spans="1:11" ht="14.25" customHeight="1" x14ac:dyDescent="0.15">
      <c r="A34" s="163" t="s">
        <v>131</v>
      </c>
      <c r="B34" s="163" t="s">
        <v>128</v>
      </c>
      <c r="C34" s="163" t="s">
        <v>136</v>
      </c>
      <c r="D34" s="164" t="s">
        <v>137</v>
      </c>
      <c r="E34" s="165">
        <v>27210</v>
      </c>
      <c r="F34" s="165"/>
      <c r="G34" s="165">
        <v>2875.3</v>
      </c>
      <c r="H34" s="165">
        <v>24334.7</v>
      </c>
      <c r="I34" s="166">
        <f t="shared" si="2"/>
        <v>0</v>
      </c>
      <c r="J34" s="167">
        <v>44530</v>
      </c>
    </row>
    <row r="35" spans="1:11" ht="14.25" customHeight="1" x14ac:dyDescent="0.15">
      <c r="A35" s="163" t="s">
        <v>132</v>
      </c>
      <c r="B35" s="163" t="s">
        <v>128</v>
      </c>
      <c r="C35" s="163" t="s">
        <v>136</v>
      </c>
      <c r="D35" s="164" t="s">
        <v>137</v>
      </c>
      <c r="E35" s="165">
        <v>30248</v>
      </c>
      <c r="F35" s="165"/>
      <c r="G35" s="165">
        <v>-973.68</v>
      </c>
      <c r="H35" s="165">
        <v>26757.27</v>
      </c>
      <c r="I35" s="166">
        <f t="shared" si="2"/>
        <v>4464.41</v>
      </c>
      <c r="J35" s="167">
        <v>44530</v>
      </c>
    </row>
    <row r="36" spans="1:11" s="186" customFormat="1" ht="14.25" customHeight="1" x14ac:dyDescent="0.15">
      <c r="A36" s="163" t="s">
        <v>326</v>
      </c>
      <c r="B36" s="163" t="s">
        <v>128</v>
      </c>
      <c r="C36" s="163" t="s">
        <v>136</v>
      </c>
      <c r="D36" s="164" t="s">
        <v>137</v>
      </c>
      <c r="E36" s="168">
        <v>31094</v>
      </c>
      <c r="F36" s="168"/>
      <c r="G36" s="168">
        <v>16979.740000000002</v>
      </c>
      <c r="H36" s="168"/>
      <c r="I36" s="166">
        <f t="shared" si="2"/>
        <v>14114.259999999998</v>
      </c>
      <c r="J36" s="167">
        <v>44895</v>
      </c>
    </row>
    <row r="37" spans="1:11" ht="14.25" customHeight="1" x14ac:dyDescent="0.15">
      <c r="A37" s="163" t="s">
        <v>131</v>
      </c>
      <c r="B37" s="163" t="s">
        <v>128</v>
      </c>
      <c r="C37" s="163" t="s">
        <v>91</v>
      </c>
      <c r="D37" s="164" t="s">
        <v>138</v>
      </c>
      <c r="E37" s="165">
        <v>108220.8</v>
      </c>
      <c r="F37" s="165"/>
      <c r="G37" s="165">
        <v>7887.27</v>
      </c>
      <c r="H37" s="165">
        <v>100333.53</v>
      </c>
      <c r="I37" s="166">
        <f t="shared" si="2"/>
        <v>0</v>
      </c>
      <c r="J37" s="167">
        <v>44530</v>
      </c>
    </row>
    <row r="38" spans="1:11" ht="14.25" customHeight="1" x14ac:dyDescent="0.15">
      <c r="A38" s="163" t="s">
        <v>132</v>
      </c>
      <c r="B38" s="163" t="s">
        <v>128</v>
      </c>
      <c r="C38" s="163" t="s">
        <v>91</v>
      </c>
      <c r="D38" s="164" t="s">
        <v>138</v>
      </c>
      <c r="E38" s="168">
        <v>117011</v>
      </c>
      <c r="F38" s="168"/>
      <c r="G38" s="168">
        <v>6760.62</v>
      </c>
      <c r="H38" s="168">
        <v>90891.44</v>
      </c>
      <c r="I38" s="166">
        <f t="shared" si="2"/>
        <v>19358.940000000002</v>
      </c>
      <c r="J38" s="167">
        <v>44530</v>
      </c>
    </row>
    <row r="39" spans="1:11" s="186" customFormat="1" ht="14.25" customHeight="1" x14ac:dyDescent="0.15">
      <c r="A39" s="163" t="s">
        <v>326</v>
      </c>
      <c r="B39" s="163" t="s">
        <v>128</v>
      </c>
      <c r="C39" s="163" t="s">
        <v>91</v>
      </c>
      <c r="D39" s="164" t="s">
        <v>138</v>
      </c>
      <c r="E39" s="168">
        <v>121467</v>
      </c>
      <c r="F39" s="168"/>
      <c r="G39" s="168">
        <v>88225.68</v>
      </c>
      <c r="H39" s="168"/>
      <c r="I39" s="166">
        <f t="shared" si="2"/>
        <v>33241.320000000007</v>
      </c>
      <c r="J39" s="167">
        <v>44591</v>
      </c>
    </row>
    <row r="40" spans="1:11" ht="14.25" customHeight="1" x14ac:dyDescent="0.15">
      <c r="A40" s="163" t="s">
        <v>132</v>
      </c>
      <c r="B40" s="163" t="s">
        <v>128</v>
      </c>
      <c r="C40" s="163" t="s">
        <v>139</v>
      </c>
      <c r="D40" s="164" t="s">
        <v>327</v>
      </c>
      <c r="E40" s="165">
        <v>38203.31</v>
      </c>
      <c r="F40" s="165"/>
      <c r="G40" s="165">
        <v>4954.25</v>
      </c>
      <c r="H40" s="165">
        <v>17271.68</v>
      </c>
      <c r="I40" s="166">
        <f t="shared" si="2"/>
        <v>15977.379999999997</v>
      </c>
      <c r="J40" s="167">
        <v>44530</v>
      </c>
    </row>
    <row r="41" spans="1:11" s="187" customFormat="1" ht="14.25" customHeight="1" x14ac:dyDescent="0.15">
      <c r="A41" s="163" t="s">
        <v>326</v>
      </c>
      <c r="B41" s="163" t="s">
        <v>128</v>
      </c>
      <c r="C41" s="163" t="s">
        <v>139</v>
      </c>
      <c r="D41" s="164" t="s">
        <v>327</v>
      </c>
      <c r="E41" s="168">
        <v>21501.83</v>
      </c>
      <c r="F41" s="168"/>
      <c r="G41" s="168">
        <v>13615.1</v>
      </c>
      <c r="H41" s="168"/>
      <c r="I41" s="166">
        <f t="shared" si="2"/>
        <v>7886.7300000000014</v>
      </c>
      <c r="J41" s="167">
        <v>44530</v>
      </c>
    </row>
    <row r="42" spans="1:11" s="185" customFormat="1" ht="14.25" customHeight="1" x14ac:dyDescent="0.15">
      <c r="A42" s="163" t="s">
        <v>132</v>
      </c>
      <c r="B42" s="163" t="s">
        <v>128</v>
      </c>
      <c r="C42" s="163" t="s">
        <v>331</v>
      </c>
      <c r="D42" s="164" t="s">
        <v>332</v>
      </c>
      <c r="E42" s="168">
        <v>222593</v>
      </c>
      <c r="F42" s="168">
        <v>48820</v>
      </c>
      <c r="G42" s="168">
        <v>175457.64</v>
      </c>
      <c r="H42" s="168"/>
      <c r="I42" s="166">
        <f t="shared" si="2"/>
        <v>-1684.640000000014</v>
      </c>
      <c r="J42" s="167">
        <v>44895</v>
      </c>
    </row>
    <row r="43" spans="1:11" s="196" customFormat="1" ht="14.25" customHeight="1" x14ac:dyDescent="0.15">
      <c r="A43" s="163" t="s">
        <v>132</v>
      </c>
      <c r="B43" s="163" t="s">
        <v>128</v>
      </c>
      <c r="C43" s="163" t="s">
        <v>352</v>
      </c>
      <c r="D43" s="164" t="s">
        <v>353</v>
      </c>
      <c r="E43" s="168">
        <v>35000</v>
      </c>
      <c r="F43" s="168"/>
      <c r="G43" s="168">
        <v>8000</v>
      </c>
      <c r="H43" s="168"/>
      <c r="I43" s="166">
        <f t="shared" si="2"/>
        <v>27000</v>
      </c>
      <c r="J43" s="167">
        <v>44925</v>
      </c>
    </row>
    <row r="44" spans="1:11" ht="14.25" customHeight="1" x14ac:dyDescent="0.2">
      <c r="A44" s="163" t="s">
        <v>131</v>
      </c>
      <c r="B44" s="163" t="s">
        <v>128</v>
      </c>
      <c r="C44" s="163" t="s">
        <v>87</v>
      </c>
      <c r="D44" s="164" t="s">
        <v>88</v>
      </c>
      <c r="E44" s="165">
        <v>257156.47</v>
      </c>
      <c r="F44" s="165"/>
      <c r="G44" s="165">
        <v>27970.31</v>
      </c>
      <c r="H44" s="165">
        <v>229186.16</v>
      </c>
      <c r="I44" s="166">
        <f t="shared" si="2"/>
        <v>0</v>
      </c>
      <c r="J44" s="167">
        <v>44530</v>
      </c>
      <c r="K44" s="58"/>
    </row>
    <row r="45" spans="1:11" ht="14.25" customHeight="1" x14ac:dyDescent="0.2">
      <c r="A45" s="163" t="s">
        <v>132</v>
      </c>
      <c r="B45" s="163" t="s">
        <v>128</v>
      </c>
      <c r="C45" s="163" t="s">
        <v>87</v>
      </c>
      <c r="D45" s="164" t="s">
        <v>88</v>
      </c>
      <c r="E45" s="165">
        <v>273829</v>
      </c>
      <c r="F45" s="165"/>
      <c r="G45" s="165">
        <v>47700.17</v>
      </c>
      <c r="H45" s="165">
        <v>226128.83</v>
      </c>
      <c r="I45" s="166">
        <f t="shared" si="2"/>
        <v>0</v>
      </c>
      <c r="J45" s="167">
        <v>44530</v>
      </c>
      <c r="K45" s="58"/>
    </row>
    <row r="46" spans="1:11" s="186" customFormat="1" ht="14.25" customHeight="1" x14ac:dyDescent="0.2">
      <c r="A46" s="163" t="s">
        <v>326</v>
      </c>
      <c r="B46" s="163" t="s">
        <v>128</v>
      </c>
      <c r="C46" s="163" t="s">
        <v>87</v>
      </c>
      <c r="D46" s="164" t="s">
        <v>88</v>
      </c>
      <c r="E46" s="168">
        <v>244541</v>
      </c>
      <c r="F46" s="168"/>
      <c r="G46" s="168">
        <v>174928.23</v>
      </c>
      <c r="H46" s="168"/>
      <c r="I46" s="166">
        <f t="shared" si="2"/>
        <v>69612.76999999999</v>
      </c>
      <c r="J46" s="167">
        <v>44895</v>
      </c>
      <c r="K46" s="58"/>
    </row>
    <row r="47" spans="1:11" ht="18" customHeight="1" x14ac:dyDescent="0.2">
      <c r="A47" s="163"/>
      <c r="B47" s="163"/>
      <c r="C47" s="163"/>
      <c r="D47" s="169" t="s">
        <v>141</v>
      </c>
      <c r="E47" s="170">
        <f>SUM(E28:E46)</f>
        <v>2622201.41</v>
      </c>
      <c r="F47" s="170">
        <f>SUM(F28:F45)</f>
        <v>92687.5</v>
      </c>
      <c r="G47" s="170">
        <f>SUM(G28:G46)</f>
        <v>937906.64</v>
      </c>
      <c r="H47" s="170">
        <f>SUM(H28:H45)</f>
        <v>1112043.83</v>
      </c>
      <c r="I47" s="170">
        <f t="shared" si="2"/>
        <v>479563.43999999994</v>
      </c>
      <c r="J47" s="167"/>
      <c r="K47" s="58"/>
    </row>
    <row r="48" spans="1:11" ht="14.25" customHeight="1" x14ac:dyDescent="0.15">
      <c r="A48" s="163"/>
      <c r="B48" s="163"/>
      <c r="C48" s="163"/>
      <c r="D48" s="169"/>
      <c r="E48" s="171"/>
      <c r="F48" s="171"/>
      <c r="G48" s="171"/>
      <c r="H48" s="171"/>
      <c r="I48" s="171"/>
      <c r="J48" s="167"/>
    </row>
    <row r="49" spans="1:12" ht="14.25" customHeight="1" x14ac:dyDescent="0.2">
      <c r="A49" s="163" t="s">
        <v>326</v>
      </c>
      <c r="B49" s="172" t="s">
        <v>146</v>
      </c>
      <c r="C49" s="163" t="s">
        <v>52</v>
      </c>
      <c r="D49" s="173" t="s">
        <v>147</v>
      </c>
      <c r="E49" s="166">
        <v>2233328.9</v>
      </c>
      <c r="F49" s="166">
        <v>96689.67</v>
      </c>
      <c r="G49" s="166">
        <v>796566.31</v>
      </c>
      <c r="H49" s="166"/>
      <c r="I49" s="166">
        <f t="shared" ref="I49:I61" si="3">E49-F49-G49-H49</f>
        <v>1340072.92</v>
      </c>
      <c r="J49" s="167">
        <v>44377</v>
      </c>
      <c r="K49" s="60"/>
      <c r="L49" s="60"/>
    </row>
    <row r="50" spans="1:12" ht="14.25" customHeight="1" x14ac:dyDescent="0.15">
      <c r="A50" s="163" t="s">
        <v>326</v>
      </c>
      <c r="B50" s="172" t="s">
        <v>146</v>
      </c>
      <c r="C50" s="163" t="s">
        <v>148</v>
      </c>
      <c r="D50" s="173" t="s">
        <v>149</v>
      </c>
      <c r="E50" s="166">
        <v>0</v>
      </c>
      <c r="F50" s="166"/>
      <c r="G50" s="166">
        <v>0</v>
      </c>
      <c r="H50" s="166"/>
      <c r="I50" s="166">
        <f t="shared" si="3"/>
        <v>0</v>
      </c>
      <c r="J50" s="167">
        <v>44377</v>
      </c>
    </row>
    <row r="51" spans="1:12" ht="14.25" customHeight="1" x14ac:dyDescent="0.2">
      <c r="A51" s="163" t="s">
        <v>326</v>
      </c>
      <c r="B51" s="52" t="s">
        <v>146</v>
      </c>
      <c r="C51" s="47" t="s">
        <v>65</v>
      </c>
      <c r="D51" s="8" t="s">
        <v>66</v>
      </c>
      <c r="E51" s="50">
        <v>405838.31</v>
      </c>
      <c r="F51" s="50"/>
      <c r="G51" s="50">
        <v>386538.73</v>
      </c>
      <c r="H51" s="50"/>
      <c r="I51" s="50">
        <f t="shared" si="3"/>
        <v>19299.580000000016</v>
      </c>
      <c r="J51" s="167">
        <v>44377</v>
      </c>
      <c r="L51" s="60"/>
    </row>
    <row r="52" spans="1:12" s="194" customFormat="1" ht="14.25" customHeight="1" x14ac:dyDescent="0.2">
      <c r="A52" s="163" t="s">
        <v>326</v>
      </c>
      <c r="B52" s="52" t="s">
        <v>146</v>
      </c>
      <c r="C52" s="47" t="s">
        <v>350</v>
      </c>
      <c r="D52" s="8" t="s">
        <v>154</v>
      </c>
      <c r="E52" s="162">
        <v>90000</v>
      </c>
      <c r="F52" s="162"/>
      <c r="G52" s="162">
        <v>47321.13</v>
      </c>
      <c r="H52" s="162"/>
      <c r="I52" s="50">
        <f t="shared" si="3"/>
        <v>42678.87</v>
      </c>
      <c r="J52" s="167">
        <v>44377</v>
      </c>
      <c r="L52" s="60"/>
    </row>
    <row r="53" spans="1:12" s="193" customFormat="1" ht="14.25" customHeight="1" x14ac:dyDescent="0.2">
      <c r="A53" s="163" t="s">
        <v>326</v>
      </c>
      <c r="B53" s="52" t="s">
        <v>146</v>
      </c>
      <c r="C53" s="47" t="s">
        <v>343</v>
      </c>
      <c r="D53" s="8" t="s">
        <v>342</v>
      </c>
      <c r="E53" s="162">
        <v>24050</v>
      </c>
      <c r="F53" s="162"/>
      <c r="G53" s="162">
        <v>24050</v>
      </c>
      <c r="H53" s="162"/>
      <c r="I53" s="50">
        <f t="shared" si="3"/>
        <v>0</v>
      </c>
      <c r="J53" s="167">
        <v>44377</v>
      </c>
      <c r="L53" s="60"/>
    </row>
    <row r="54" spans="1:12" ht="14.25" customHeight="1" x14ac:dyDescent="0.15">
      <c r="A54" s="163" t="s">
        <v>326</v>
      </c>
      <c r="B54" s="52" t="s">
        <v>146</v>
      </c>
      <c r="C54" s="47" t="s">
        <v>150</v>
      </c>
      <c r="D54" s="8" t="s">
        <v>151</v>
      </c>
      <c r="E54" s="50">
        <v>14.16</v>
      </c>
      <c r="F54" s="50"/>
      <c r="G54" s="50"/>
      <c r="H54" s="50"/>
      <c r="I54" s="50">
        <f t="shared" si="3"/>
        <v>14.16</v>
      </c>
      <c r="J54" s="167">
        <v>44377</v>
      </c>
    </row>
    <row r="55" spans="1:12" ht="14.25" customHeight="1" x14ac:dyDescent="0.15">
      <c r="A55" s="163" t="s">
        <v>326</v>
      </c>
      <c r="B55" s="52" t="s">
        <v>146</v>
      </c>
      <c r="C55" s="47" t="s">
        <v>152</v>
      </c>
      <c r="D55" s="8" t="s">
        <v>153</v>
      </c>
      <c r="E55" s="50">
        <v>12415.37</v>
      </c>
      <c r="F55" s="50"/>
      <c r="G55" s="50">
        <v>4296.2299999999996</v>
      </c>
      <c r="H55" s="50"/>
      <c r="I55" s="50">
        <f t="shared" si="3"/>
        <v>8119.1400000000012</v>
      </c>
      <c r="J55" s="167">
        <v>44377</v>
      </c>
    </row>
    <row r="56" spans="1:12" ht="14.25" customHeight="1" x14ac:dyDescent="0.15">
      <c r="A56" s="163" t="s">
        <v>326</v>
      </c>
      <c r="B56" s="52" t="s">
        <v>146</v>
      </c>
      <c r="C56" s="47" t="s">
        <v>44</v>
      </c>
      <c r="D56" s="8" t="s">
        <v>155</v>
      </c>
      <c r="E56" s="61">
        <v>7550.73</v>
      </c>
      <c r="F56" s="61"/>
      <c r="G56" s="61">
        <v>5395</v>
      </c>
      <c r="H56" s="50"/>
      <c r="I56" s="50">
        <f t="shared" si="3"/>
        <v>2155.7299999999996</v>
      </c>
      <c r="J56" s="167">
        <v>44377</v>
      </c>
    </row>
    <row r="57" spans="1:12" s="181" customFormat="1" ht="14.25" customHeight="1" x14ac:dyDescent="0.15">
      <c r="A57" s="163" t="s">
        <v>132</v>
      </c>
      <c r="B57" s="52" t="s">
        <v>146</v>
      </c>
      <c r="C57" s="47" t="s">
        <v>44</v>
      </c>
      <c r="D57" s="8" t="s">
        <v>305</v>
      </c>
      <c r="E57" s="175">
        <v>25524.95</v>
      </c>
      <c r="F57" s="175"/>
      <c r="G57" s="175">
        <v>-25524.95</v>
      </c>
      <c r="H57" s="162">
        <v>25524.95</v>
      </c>
      <c r="I57" s="162">
        <f t="shared" si="3"/>
        <v>25524.95</v>
      </c>
      <c r="J57" s="167">
        <v>44377</v>
      </c>
    </row>
    <row r="58" spans="1:12" s="158" customFormat="1" ht="14.25" customHeight="1" x14ac:dyDescent="0.15">
      <c r="A58" s="163" t="s">
        <v>326</v>
      </c>
      <c r="B58" s="52" t="s">
        <v>146</v>
      </c>
      <c r="C58" s="47" t="s">
        <v>304</v>
      </c>
      <c r="D58" s="8" t="s">
        <v>305</v>
      </c>
      <c r="E58" s="175"/>
      <c r="F58" s="175"/>
      <c r="G58" s="175">
        <v>33980.39</v>
      </c>
      <c r="H58" s="162"/>
      <c r="I58" s="162">
        <f t="shared" si="3"/>
        <v>-33980.39</v>
      </c>
      <c r="J58" s="167">
        <v>44377</v>
      </c>
    </row>
    <row r="59" spans="1:12" ht="14.25" customHeight="1" x14ac:dyDescent="0.15">
      <c r="A59" s="163" t="s">
        <v>326</v>
      </c>
      <c r="B59" s="52" t="s">
        <v>146</v>
      </c>
      <c r="C59" s="47" t="s">
        <v>156</v>
      </c>
      <c r="D59" s="8" t="s">
        <v>328</v>
      </c>
      <c r="E59" s="174">
        <v>55763.17</v>
      </c>
      <c r="F59" s="61"/>
      <c r="G59" s="61"/>
      <c r="H59" s="50"/>
      <c r="I59" s="50">
        <f t="shared" si="3"/>
        <v>55763.17</v>
      </c>
      <c r="J59" s="167">
        <v>44377</v>
      </c>
    </row>
    <row r="60" spans="1:12" ht="14.25" customHeight="1" x14ac:dyDescent="0.15">
      <c r="A60" s="163"/>
      <c r="B60" s="52"/>
      <c r="C60" s="47"/>
      <c r="D60" s="8"/>
      <c r="E60" s="61"/>
      <c r="F60" s="61"/>
      <c r="G60" s="61"/>
      <c r="H60" s="50"/>
      <c r="I60" s="50"/>
      <c r="J60" s="167"/>
    </row>
    <row r="61" spans="1:12" ht="14.25" customHeight="1" x14ac:dyDescent="0.15">
      <c r="A61" s="47"/>
      <c r="B61" s="47"/>
      <c r="C61" s="47"/>
      <c r="D61" s="53" t="s">
        <v>71</v>
      </c>
      <c r="E61" s="62">
        <f>SUM(E49:E60)</f>
        <v>2854485.5900000003</v>
      </c>
      <c r="F61" s="62">
        <f>SUM(F49:F60)</f>
        <v>96689.67</v>
      </c>
      <c r="G61" s="62">
        <f>SUM(G49:G60)</f>
        <v>1272622.8399999999</v>
      </c>
      <c r="H61" s="62">
        <f>SUM(H49:H60)</f>
        <v>25524.95</v>
      </c>
      <c r="I61" s="62">
        <f t="shared" si="3"/>
        <v>1459648.1300000006</v>
      </c>
      <c r="J61" s="55"/>
    </row>
    <row r="62" spans="1:12" ht="14.25" customHeight="1" x14ac:dyDescent="0.15">
      <c r="A62" s="47"/>
      <c r="B62" s="47"/>
      <c r="C62" s="47"/>
      <c r="D62" s="48"/>
      <c r="E62" s="63"/>
      <c r="F62" s="63"/>
      <c r="G62" s="63"/>
      <c r="H62" s="63"/>
      <c r="I62" s="63"/>
      <c r="J62" s="45"/>
    </row>
    <row r="63" spans="1:12" ht="14.25" customHeight="1" x14ac:dyDescent="0.15">
      <c r="A63" s="47"/>
      <c r="B63" s="47"/>
      <c r="C63" s="47"/>
      <c r="D63" s="53" t="s">
        <v>95</v>
      </c>
      <c r="E63" s="64">
        <f>E26+E47+E61</f>
        <v>13231394.01</v>
      </c>
      <c r="F63" s="64">
        <f>F26+F47+F61</f>
        <v>237099.16999999998</v>
      </c>
      <c r="G63" s="64">
        <f>G26+G47+G61</f>
        <v>5651129.9100000001</v>
      </c>
      <c r="H63" s="64">
        <f>H26+H47+H61</f>
        <v>4856867.5200000005</v>
      </c>
      <c r="I63" s="64">
        <f>E63-F63-G63-H63</f>
        <v>2486297.4099999992</v>
      </c>
      <c r="J63" s="45"/>
    </row>
    <row r="64" spans="1:12" ht="14.25" customHeight="1" x14ac:dyDescent="0.15">
      <c r="A64" s="47"/>
      <c r="B64" s="47"/>
      <c r="C64" s="47"/>
      <c r="D64" s="48"/>
      <c r="E64" s="65"/>
      <c r="F64" s="63"/>
      <c r="G64" s="63"/>
      <c r="H64" s="63"/>
      <c r="I64" s="36"/>
      <c r="J64" s="45"/>
    </row>
    <row r="65" spans="1:26" ht="14.25" customHeight="1" x14ac:dyDescent="0.15">
      <c r="A65" s="66" t="s">
        <v>157</v>
      </c>
      <c r="B65" s="67"/>
      <c r="C65" s="47"/>
      <c r="D65" s="53"/>
      <c r="E65" s="36"/>
      <c r="F65" s="36"/>
      <c r="G65" s="63"/>
      <c r="H65" s="63"/>
      <c r="I65" s="37"/>
      <c r="J65" s="45"/>
    </row>
    <row r="66" spans="1:26" ht="14.25" customHeight="1" x14ac:dyDescent="0.2">
      <c r="E66" s="68"/>
      <c r="F66" s="68"/>
      <c r="G66" s="58"/>
      <c r="I66" s="58">
        <v>6091010.0700000003</v>
      </c>
    </row>
    <row r="67" spans="1:26" ht="14.25" customHeight="1" x14ac:dyDescent="0.2">
      <c r="I67" s="68">
        <f>-3389132.31-215580.35</f>
        <v>-3604712.66</v>
      </c>
    </row>
    <row r="68" spans="1:26" ht="14.25" customHeight="1" x14ac:dyDescent="0.2">
      <c r="A68" s="17"/>
      <c r="B68" s="17"/>
      <c r="C68" s="17"/>
      <c r="D68" s="17"/>
      <c r="E68" s="17"/>
      <c r="F68" s="17"/>
      <c r="G68" s="17"/>
      <c r="H68" s="17"/>
      <c r="I68" s="69">
        <f>SUM(I66:I67)</f>
        <v>2486297.41</v>
      </c>
      <c r="J68" s="17"/>
      <c r="K68" s="69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4.25" customHeight="1" x14ac:dyDescent="0.2">
      <c r="I69" s="58"/>
    </row>
    <row r="70" spans="1:26" ht="14.25" customHeight="1" x14ac:dyDescent="0.15"/>
    <row r="71" spans="1:26" ht="14.25" customHeight="1" x14ac:dyDescent="0.15"/>
    <row r="72" spans="1:26" ht="14.25" customHeight="1" x14ac:dyDescent="0.15"/>
    <row r="73" spans="1:26" ht="14.25" customHeight="1" x14ac:dyDescent="0.15"/>
    <row r="74" spans="1:26" ht="14.25" customHeight="1" x14ac:dyDescent="0.15"/>
    <row r="75" spans="1:26" ht="14.25" customHeight="1" x14ac:dyDescent="0.15"/>
    <row r="76" spans="1:26" ht="14.25" customHeight="1" x14ac:dyDescent="0.15"/>
    <row r="77" spans="1:26" ht="14.25" customHeight="1" x14ac:dyDescent="0.15"/>
    <row r="78" spans="1:26" ht="14.25" customHeight="1" x14ac:dyDescent="0.15"/>
    <row r="79" spans="1:26" ht="14.25" customHeight="1" x14ac:dyDescent="0.15"/>
    <row r="80" spans="1:26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  <row r="1001" ht="14.25" customHeight="1" x14ac:dyDescent="0.15"/>
    <row r="1002" ht="14.25" customHeight="1" x14ac:dyDescent="0.15"/>
    <row r="1003" ht="14.25" customHeight="1" x14ac:dyDescent="0.15"/>
    <row r="1004" ht="14.25" customHeight="1" x14ac:dyDescent="0.15"/>
    <row r="1005" ht="14.25" customHeight="1" x14ac:dyDescent="0.15"/>
    <row r="1006" ht="14.25" customHeight="1" x14ac:dyDescent="0.15"/>
    <row r="1007" ht="14.25" customHeight="1" x14ac:dyDescent="0.15"/>
    <row r="1008" ht="14.25" customHeight="1" x14ac:dyDescent="0.15"/>
    <row r="1009" ht="14.25" customHeight="1" x14ac:dyDescent="0.15"/>
    <row r="1010" ht="14.25" customHeight="1" x14ac:dyDescent="0.15"/>
    <row r="1011" ht="14.25" customHeight="1" x14ac:dyDescent="0.15"/>
    <row r="1012" ht="14.25" customHeight="1" x14ac:dyDescent="0.15"/>
    <row r="1013" ht="14.25" customHeight="1" x14ac:dyDescent="0.15"/>
    <row r="1014" ht="14.25" customHeight="1" x14ac:dyDescent="0.15"/>
    <row r="1015" ht="14.25" customHeight="1" x14ac:dyDescent="0.15"/>
  </sheetData>
  <mergeCells count="3">
    <mergeCell ref="A2:J2"/>
    <mergeCell ref="A3:J3"/>
    <mergeCell ref="A4:J4"/>
  </mergeCells>
  <phoneticPr fontId="18" type="noConversion"/>
  <pageMargins left="0.75" right="0.75" top="1" bottom="1" header="0" footer="0"/>
  <pageSetup scale="6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1000"/>
  <sheetViews>
    <sheetView workbookViewId="0">
      <selection activeCell="D45" sqref="D45"/>
    </sheetView>
  </sheetViews>
  <sheetFormatPr baseColWidth="10" defaultColWidth="12.5" defaultRowHeight="15" customHeight="1" x14ac:dyDescent="0.15"/>
  <cols>
    <col min="1" max="1" width="3.6640625" customWidth="1"/>
    <col min="2" max="2" width="57.33203125" customWidth="1"/>
    <col min="3" max="3" width="19.1640625" customWidth="1"/>
    <col min="4" max="4" width="19.6640625" customWidth="1"/>
    <col min="5" max="5" width="2.33203125" customWidth="1"/>
    <col min="6" max="6" width="19.1640625" customWidth="1"/>
    <col min="7" max="7" width="18" customWidth="1"/>
    <col min="8" max="8" width="12.1640625" customWidth="1"/>
    <col min="9" max="9" width="10" customWidth="1"/>
    <col min="10" max="10" width="1.5" customWidth="1"/>
    <col min="11" max="11" width="16.1640625" customWidth="1"/>
    <col min="12" max="26" width="10" customWidth="1"/>
  </cols>
  <sheetData>
    <row r="1" spans="1:26" ht="18" customHeight="1" x14ac:dyDescent="0.2">
      <c r="A1" s="206" t="s">
        <v>2</v>
      </c>
      <c r="B1" s="201"/>
      <c r="C1" s="201"/>
      <c r="D1" s="201"/>
      <c r="E1" s="201"/>
      <c r="F1" s="201"/>
      <c r="G1" s="201"/>
      <c r="H1" s="201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</row>
    <row r="2" spans="1:26" ht="18" customHeight="1" x14ac:dyDescent="0.2">
      <c r="A2" s="206" t="s">
        <v>160</v>
      </c>
      <c r="B2" s="201"/>
      <c r="C2" s="201"/>
      <c r="D2" s="201"/>
      <c r="E2" s="201"/>
      <c r="F2" s="201"/>
      <c r="G2" s="201"/>
      <c r="H2" s="201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</row>
    <row r="3" spans="1:26" ht="18" customHeight="1" x14ac:dyDescent="0.2">
      <c r="A3" s="72"/>
      <c r="B3" s="206" t="str">
        <f>VLOOKUP('Cash Flow'!$L$7,'Cash Flow'!$AG$4:$AJ$20,4)</f>
        <v>As of April 30, 2021</v>
      </c>
      <c r="C3" s="201"/>
      <c r="D3" s="201"/>
      <c r="E3" s="201"/>
      <c r="F3" s="201"/>
      <c r="G3" s="201"/>
      <c r="H3" s="201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</row>
    <row r="4" spans="1:26" ht="18" customHeight="1" x14ac:dyDescent="0.2">
      <c r="A4" s="206" t="s">
        <v>161</v>
      </c>
      <c r="B4" s="201"/>
      <c r="C4" s="201"/>
      <c r="D4" s="201"/>
      <c r="E4" s="201"/>
      <c r="F4" s="201"/>
      <c r="G4" s="201"/>
      <c r="H4" s="201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</row>
    <row r="5" spans="1:26" ht="18" customHeight="1" x14ac:dyDescent="0.2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</row>
    <row r="6" spans="1:26" ht="18" customHeight="1" x14ac:dyDescent="0.2">
      <c r="A6" s="73"/>
      <c r="B6" s="75" t="s">
        <v>162</v>
      </c>
      <c r="C6" s="76"/>
      <c r="D6" s="77"/>
      <c r="E6" s="73"/>
      <c r="F6" s="78"/>
      <c r="G6" s="79"/>
      <c r="H6" s="78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</row>
    <row r="7" spans="1:26" ht="35.5" customHeight="1" x14ac:dyDescent="0.2">
      <c r="A7" s="73"/>
      <c r="B7" s="75" t="s">
        <v>163</v>
      </c>
      <c r="C7" s="80" t="s">
        <v>345</v>
      </c>
      <c r="D7" s="81" t="s">
        <v>165</v>
      </c>
      <c r="E7" s="82"/>
      <c r="F7" s="82" t="s">
        <v>166</v>
      </c>
      <c r="G7" s="80" t="s">
        <v>167</v>
      </c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</row>
    <row r="8" spans="1:26" ht="18" customHeight="1" x14ac:dyDescent="0.2">
      <c r="A8" s="73"/>
      <c r="B8" s="73"/>
      <c r="C8" s="76"/>
      <c r="D8" s="77"/>
      <c r="E8" s="73"/>
      <c r="F8" s="73"/>
      <c r="G8" s="77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</row>
    <row r="9" spans="1:26" ht="18" customHeight="1" x14ac:dyDescent="0.2">
      <c r="A9" s="73"/>
      <c r="B9" s="73"/>
      <c r="C9" s="76"/>
      <c r="D9" s="77"/>
      <c r="E9" s="73"/>
      <c r="F9" s="83"/>
      <c r="G9" s="77">
        <f>C9-D9</f>
        <v>0</v>
      </c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</row>
    <row r="10" spans="1:26" ht="18" customHeight="1" x14ac:dyDescent="0.2">
      <c r="A10" s="73"/>
      <c r="B10" s="73" t="s">
        <v>170</v>
      </c>
      <c r="C10" s="84">
        <f>'Cash Flow'!E13</f>
        <v>3075977</v>
      </c>
      <c r="D10" s="85">
        <f ca="1">'Cash Flow'!F13</f>
        <v>3075977</v>
      </c>
      <c r="E10" s="87"/>
      <c r="F10" s="88">
        <f ca="1">D10/C10</f>
        <v>1</v>
      </c>
      <c r="G10" s="89">
        <f t="shared" ref="G10:G15" ca="1" si="0">D10-C10</f>
        <v>0</v>
      </c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</row>
    <row r="11" spans="1:26" ht="18" customHeight="1" x14ac:dyDescent="0.2">
      <c r="A11" s="73"/>
      <c r="B11" s="73" t="s">
        <v>171</v>
      </c>
      <c r="C11" s="84">
        <f>'Cash Flow'!E14</f>
        <v>74457</v>
      </c>
      <c r="D11" s="85">
        <f ca="1">'Cash Flow'!F14</f>
        <v>74457</v>
      </c>
      <c r="E11" s="87"/>
      <c r="F11" s="88">
        <f ca="1">D11/C11</f>
        <v>1</v>
      </c>
      <c r="G11" s="89">
        <f t="shared" ca="1" si="0"/>
        <v>0</v>
      </c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</row>
    <row r="12" spans="1:26" ht="18" customHeight="1" x14ac:dyDescent="0.2">
      <c r="A12" s="73"/>
      <c r="B12" s="73" t="s">
        <v>173</v>
      </c>
      <c r="C12" s="85">
        <f>'Cash Flow'!E15</f>
        <v>9965</v>
      </c>
      <c r="D12" s="85">
        <f ca="1">'Cash Flow'!F15</f>
        <v>9965</v>
      </c>
      <c r="E12" s="87"/>
      <c r="F12" s="88">
        <f ca="1">D12/C12</f>
        <v>1</v>
      </c>
      <c r="G12" s="89">
        <f t="shared" ca="1" si="0"/>
        <v>0</v>
      </c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</row>
    <row r="13" spans="1:26" ht="18" customHeight="1" x14ac:dyDescent="0.2">
      <c r="A13" s="73"/>
      <c r="B13" s="73" t="s">
        <v>175</v>
      </c>
      <c r="C13" s="85">
        <f>'Cash Flow'!E16+'Cash Flow'!E17+'Cash Flow'!E19</f>
        <v>629114</v>
      </c>
      <c r="D13" s="85">
        <f ca="1">'Cash Flow'!F16+'Cash Flow'!F17</f>
        <v>585281.92000000004</v>
      </c>
      <c r="E13" s="87"/>
      <c r="F13" s="88"/>
      <c r="G13" s="89">
        <f t="shared" ca="1" si="0"/>
        <v>-43832.079999999958</v>
      </c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</row>
    <row r="14" spans="1:26" ht="18" customHeight="1" x14ac:dyDescent="0.2">
      <c r="A14" s="73"/>
      <c r="B14" s="73" t="s">
        <v>176</v>
      </c>
      <c r="C14" s="85">
        <f>'Cash Flow'!E18</f>
        <v>101300</v>
      </c>
      <c r="D14" s="85">
        <f ca="1">'Cash Flow'!F18</f>
        <v>101300</v>
      </c>
      <c r="E14" s="87"/>
      <c r="F14" s="88">
        <f ca="1">D14/C14</f>
        <v>1</v>
      </c>
      <c r="G14" s="89">
        <f t="shared" ca="1" si="0"/>
        <v>0</v>
      </c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</row>
    <row r="15" spans="1:26" ht="18" customHeight="1" x14ac:dyDescent="0.2">
      <c r="A15" s="73"/>
      <c r="B15" s="73" t="s">
        <v>177</v>
      </c>
      <c r="C15" s="85">
        <f>'Cash Flow'!E23</f>
        <v>68817</v>
      </c>
      <c r="D15" s="85">
        <f ca="1">'Cash Flow'!F23</f>
        <v>68817</v>
      </c>
      <c r="E15" s="87"/>
      <c r="F15" s="88">
        <f ca="1">D15/C15</f>
        <v>1</v>
      </c>
      <c r="G15" s="89">
        <f t="shared" ca="1" si="0"/>
        <v>0</v>
      </c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</row>
    <row r="16" spans="1:26" ht="18" customHeight="1" x14ac:dyDescent="0.2">
      <c r="A16" s="73"/>
      <c r="B16" s="73"/>
      <c r="C16" s="90"/>
      <c r="D16" s="90"/>
      <c r="E16" s="91"/>
      <c r="F16" s="92"/>
      <c r="G16" s="9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</row>
    <row r="17" spans="1:26" ht="18" customHeight="1" x14ac:dyDescent="0.2">
      <c r="A17" s="73"/>
      <c r="B17" s="94" t="s">
        <v>178</v>
      </c>
      <c r="C17" s="95">
        <f>SUM(C9:C15)</f>
        <v>3959630</v>
      </c>
      <c r="D17" s="95">
        <f ca="1">SUM(D9:D15)</f>
        <v>3915797.92</v>
      </c>
      <c r="E17" s="96"/>
      <c r="F17" s="97">
        <f ca="1">IFERROR(D17/C17,0)</f>
        <v>0.9889302586352765</v>
      </c>
      <c r="G17" s="98">
        <f ca="1">SUM(G10:G15)</f>
        <v>-43832.079999999958</v>
      </c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</row>
    <row r="18" spans="1:26" ht="18" customHeight="1" x14ac:dyDescent="0.2">
      <c r="A18" s="73"/>
      <c r="B18" s="73"/>
      <c r="C18" s="99"/>
      <c r="D18" s="100"/>
      <c r="E18" s="101"/>
      <c r="F18" s="102"/>
      <c r="G18" s="89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</row>
    <row r="19" spans="1:26" ht="18" customHeight="1" x14ac:dyDescent="0.2">
      <c r="A19" s="73"/>
      <c r="B19" s="73"/>
      <c r="C19" s="99"/>
      <c r="D19" s="100"/>
      <c r="E19" s="101"/>
      <c r="F19" s="102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</row>
    <row r="20" spans="1:26" ht="18" customHeight="1" x14ac:dyDescent="0.2">
      <c r="A20" s="73" t="s">
        <v>179</v>
      </c>
      <c r="B20" s="101" t="s">
        <v>180</v>
      </c>
      <c r="C20" s="85">
        <f>'Cash Flow'!E20</f>
        <v>2111091</v>
      </c>
      <c r="D20" s="85">
        <f ca="1">'Cash Flow'!F20</f>
        <v>2145237.8300000005</v>
      </c>
      <c r="E20" s="87"/>
      <c r="F20" s="88">
        <f t="shared" ref="F20:F26" ca="1" si="1">D20/C20</f>
        <v>1.0161749682983825</v>
      </c>
      <c r="G20" s="89">
        <f t="shared" ref="G20:G25" ca="1" si="2">D20-C20</f>
        <v>34146.83000000054</v>
      </c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</row>
    <row r="21" spans="1:26" ht="18" customHeight="1" x14ac:dyDescent="0.2">
      <c r="A21" s="73"/>
      <c r="B21" s="101" t="s">
        <v>145</v>
      </c>
      <c r="C21" s="85">
        <f>'Cash Flow'!E22</f>
        <v>927098</v>
      </c>
      <c r="D21" s="85">
        <f ca="1">'Cash Flow'!F22</f>
        <v>1012032.8300000001</v>
      </c>
      <c r="E21" s="87"/>
      <c r="F21" s="88">
        <f t="shared" ca="1" si="1"/>
        <v>1.0916136481795884</v>
      </c>
      <c r="G21" s="89">
        <f t="shared" ca="1" si="2"/>
        <v>84934.830000000075</v>
      </c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</row>
    <row r="22" spans="1:26" ht="18" customHeight="1" x14ac:dyDescent="0.2">
      <c r="A22" s="73"/>
      <c r="B22" s="101" t="s">
        <v>140</v>
      </c>
      <c r="C22" s="85">
        <f>'Cash Flow'!E21</f>
        <v>113295</v>
      </c>
      <c r="D22" s="85">
        <f ca="1">'Cash Flow'!F21</f>
        <v>0</v>
      </c>
      <c r="E22" s="87"/>
      <c r="F22" s="88">
        <f t="shared" ca="1" si="1"/>
        <v>0</v>
      </c>
      <c r="G22" s="89">
        <f t="shared" ca="1" si="2"/>
        <v>-113295</v>
      </c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</row>
    <row r="23" spans="1:26" ht="18" customHeight="1" x14ac:dyDescent="0.2">
      <c r="A23" s="73"/>
      <c r="B23" s="101" t="s">
        <v>182</v>
      </c>
      <c r="C23" s="85">
        <f>'Cash Flow'!E24</f>
        <v>136550</v>
      </c>
      <c r="D23" s="85">
        <f ca="1">'Cash Flow'!F24</f>
        <v>131550</v>
      </c>
      <c r="E23" s="87"/>
      <c r="F23" s="88">
        <f t="shared" ca="1" si="1"/>
        <v>0.96338337605272795</v>
      </c>
      <c r="G23" s="89">
        <f t="shared" ca="1" si="2"/>
        <v>-5000</v>
      </c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</row>
    <row r="24" spans="1:26" ht="18" customHeight="1" x14ac:dyDescent="0.2">
      <c r="A24" s="73"/>
      <c r="B24" s="101" t="s">
        <v>183</v>
      </c>
      <c r="C24" s="85">
        <f>'Cash Flow'!E25</f>
        <v>10931</v>
      </c>
      <c r="D24" s="85">
        <f ca="1">'Cash Flow'!F25</f>
        <v>0</v>
      </c>
      <c r="E24" s="77"/>
      <c r="F24" s="88">
        <f t="shared" ca="1" si="1"/>
        <v>0</v>
      </c>
      <c r="G24" s="89">
        <f t="shared" ca="1" si="2"/>
        <v>-10931</v>
      </c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</row>
    <row r="25" spans="1:26" ht="18" customHeight="1" x14ac:dyDescent="0.2">
      <c r="A25" s="73"/>
      <c r="B25" s="101" t="s">
        <v>184</v>
      </c>
      <c r="C25" s="85">
        <f>'Cash Flow'!E26</f>
        <v>1098907</v>
      </c>
      <c r="D25" s="85">
        <f ca="1">'Cash Flow'!F26</f>
        <v>1098906.9099999999</v>
      </c>
      <c r="E25" s="77"/>
      <c r="F25" s="88">
        <f t="shared" ca="1" si="1"/>
        <v>0.99999991810043976</v>
      </c>
      <c r="G25" s="89">
        <f t="shared" ca="1" si="2"/>
        <v>-9.0000000083819032E-2</v>
      </c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</row>
    <row r="26" spans="1:26" ht="18" customHeight="1" x14ac:dyDescent="0.2">
      <c r="A26" s="73"/>
      <c r="B26" s="101"/>
      <c r="C26" s="93">
        <f>SUM(C20:C25)</f>
        <v>4397872</v>
      </c>
      <c r="D26" s="106">
        <f ca="1">SUM(D20:D25)</f>
        <v>4387727.57</v>
      </c>
      <c r="E26" s="107"/>
      <c r="F26" s="92">
        <f t="shared" ca="1" si="1"/>
        <v>0.99769333213881628</v>
      </c>
      <c r="G26" s="106">
        <f ca="1">SUM(G20:G25)</f>
        <v>-10144.429999999469</v>
      </c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</row>
    <row r="27" spans="1:26" ht="18" customHeight="1" x14ac:dyDescent="0.2">
      <c r="A27" s="73"/>
      <c r="B27" s="78" t="s">
        <v>95</v>
      </c>
      <c r="C27" s="108">
        <f>SUM(C17:C25)</f>
        <v>8357502</v>
      </c>
      <c r="D27" s="108">
        <f ca="1">SUM(D17:D25)</f>
        <v>8303525.4900000002</v>
      </c>
      <c r="E27" s="108"/>
      <c r="F27" s="97">
        <f ca="1">IFERROR(D27/C27,0)</f>
        <v>0.99354154985544729</v>
      </c>
      <c r="G27" s="109">
        <f ca="1">G26+G17</f>
        <v>-53976.509999999427</v>
      </c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</row>
    <row r="28" spans="1:26" ht="18" customHeight="1" x14ac:dyDescent="0.2">
      <c r="A28" s="73"/>
      <c r="B28" s="78"/>
      <c r="C28" s="136"/>
      <c r="D28" s="110"/>
      <c r="E28" s="79"/>
      <c r="F28" s="111"/>
      <c r="G28" s="79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</row>
    <row r="29" spans="1:26" ht="18" customHeight="1" x14ac:dyDescent="0.2">
      <c r="A29" s="73"/>
      <c r="B29" s="78"/>
      <c r="C29" s="110"/>
      <c r="D29" s="77"/>
      <c r="E29" s="73"/>
      <c r="F29" s="73"/>
      <c r="G29" s="77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 spans="1:26" ht="18" customHeight="1" x14ac:dyDescent="0.2">
      <c r="A30" s="73"/>
      <c r="B30" s="73"/>
      <c r="C30" s="76"/>
      <c r="D30" s="77"/>
      <c r="E30" s="73"/>
      <c r="F30" s="75"/>
      <c r="G30" s="112"/>
      <c r="H30" s="75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spans="1:26" ht="18" customHeight="1" x14ac:dyDescent="0.2">
      <c r="A31" s="73"/>
      <c r="B31" s="75" t="s">
        <v>164</v>
      </c>
      <c r="C31" s="76"/>
      <c r="D31" s="77"/>
      <c r="E31" s="73"/>
      <c r="F31" s="73"/>
      <c r="G31" s="77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 spans="1:26" ht="18" customHeight="1" x14ac:dyDescent="0.2">
      <c r="A32" s="73"/>
      <c r="B32" s="73"/>
      <c r="C32" s="76"/>
      <c r="D32" s="77"/>
      <c r="E32" s="73"/>
      <c r="F32" s="73"/>
      <c r="G32" s="77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</row>
    <row r="33" spans="1:26" ht="38" customHeight="1" x14ac:dyDescent="0.2">
      <c r="A33" s="73"/>
      <c r="B33" s="94" t="s">
        <v>186</v>
      </c>
      <c r="C33" s="80" t="s">
        <v>346</v>
      </c>
      <c r="D33" s="81" t="s">
        <v>8</v>
      </c>
      <c r="E33" s="82"/>
      <c r="F33" s="82" t="s">
        <v>9</v>
      </c>
      <c r="G33" s="81" t="s">
        <v>10</v>
      </c>
      <c r="H33" s="113" t="s">
        <v>187</v>
      </c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</row>
    <row r="34" spans="1:26" ht="18" customHeight="1" x14ac:dyDescent="0.2">
      <c r="A34" s="73"/>
      <c r="B34" s="94"/>
      <c r="C34" s="114"/>
      <c r="D34" s="81"/>
      <c r="E34" s="82"/>
      <c r="F34" s="82"/>
      <c r="G34" s="81"/>
      <c r="H34" s="11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</row>
    <row r="35" spans="1:26" ht="18" customHeight="1" x14ac:dyDescent="0.2">
      <c r="A35" s="73"/>
      <c r="B35" s="73" t="s">
        <v>189</v>
      </c>
      <c r="C35" s="89">
        <f>'Cash Flow'!E39+'Cash Flow'!E47</f>
        <v>4151496</v>
      </c>
      <c r="D35" s="116"/>
      <c r="E35" s="117"/>
      <c r="F35" s="89">
        <f ca="1">'Cash Flow'!F39+'Cash Flow'!F47</f>
        <v>3412169.33</v>
      </c>
      <c r="G35" s="89">
        <f t="shared" ref="G35:G45" ca="1" si="3">C35-F35-D35</f>
        <v>739326.66999999993</v>
      </c>
      <c r="H35" s="88">
        <f t="shared" ref="H35:H45" ca="1" si="4">IFERROR((D35+F35)/C35,0)</f>
        <v>0.82191319225647819</v>
      </c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</row>
    <row r="36" spans="1:26" ht="18" customHeight="1" x14ac:dyDescent="0.2">
      <c r="A36" s="73"/>
      <c r="B36" s="73" t="s">
        <v>195</v>
      </c>
      <c r="C36" s="89">
        <f>+'Cash Flow'!E60</f>
        <v>0</v>
      </c>
      <c r="D36" s="116"/>
      <c r="E36" s="117"/>
      <c r="F36" s="89">
        <f ca="1">+'Cash Flow'!F60</f>
        <v>0</v>
      </c>
      <c r="G36" s="89">
        <f t="shared" ca="1" si="3"/>
        <v>0</v>
      </c>
      <c r="H36" s="88">
        <f t="shared" ca="1" si="4"/>
        <v>0</v>
      </c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</row>
    <row r="37" spans="1:26" ht="18" customHeight="1" x14ac:dyDescent="0.2">
      <c r="A37" s="73"/>
      <c r="B37" s="73" t="s">
        <v>198</v>
      </c>
      <c r="C37" s="89">
        <f>'Cash Flow'!E66</f>
        <v>870276</v>
      </c>
      <c r="D37" s="116">
        <v>96689.67</v>
      </c>
      <c r="E37" s="117"/>
      <c r="F37" s="89">
        <f ca="1">'Cash Flow'!F66</f>
        <v>821862.10999999987</v>
      </c>
      <c r="G37" s="89">
        <f t="shared" ca="1" si="3"/>
        <v>-48275.779999999868</v>
      </c>
      <c r="H37" s="88">
        <f t="shared" ca="1" si="4"/>
        <v>1.0554718043471265</v>
      </c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</row>
    <row r="38" spans="1:26" ht="18" customHeight="1" x14ac:dyDescent="0.2">
      <c r="A38" s="73"/>
      <c r="B38" s="73" t="s">
        <v>199</v>
      </c>
      <c r="C38" s="89">
        <f>'Cash Flow'!E68</f>
        <v>414000</v>
      </c>
      <c r="D38" s="116"/>
      <c r="E38" s="117"/>
      <c r="F38" s="89">
        <f ca="1">'Cash Flow'!F68</f>
        <v>248594.65000000002</v>
      </c>
      <c r="G38" s="89">
        <f t="shared" ca="1" si="3"/>
        <v>165405.34999999998</v>
      </c>
      <c r="H38" s="88">
        <f t="shared" ca="1" si="4"/>
        <v>0.60047016908212569</v>
      </c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</row>
    <row r="39" spans="1:26" ht="18" customHeight="1" x14ac:dyDescent="0.2">
      <c r="A39" s="73"/>
      <c r="B39" s="73" t="s">
        <v>202</v>
      </c>
      <c r="C39" s="89">
        <f>'Cash Flow'!E62</f>
        <v>0</v>
      </c>
      <c r="D39" s="116"/>
      <c r="E39" s="117"/>
      <c r="F39" s="89">
        <v>0</v>
      </c>
      <c r="G39" s="89">
        <f t="shared" si="3"/>
        <v>0</v>
      </c>
      <c r="H39" s="88">
        <f t="shared" si="4"/>
        <v>0</v>
      </c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</row>
    <row r="40" spans="1:26" ht="18" customHeight="1" x14ac:dyDescent="0.2">
      <c r="A40" s="73"/>
      <c r="B40" s="73" t="s">
        <v>203</v>
      </c>
      <c r="C40" s="89">
        <f>'Cash Flow'!E51</f>
        <v>195000</v>
      </c>
      <c r="D40" s="116"/>
      <c r="E40" s="117"/>
      <c r="F40" s="89">
        <f ca="1">+'Cash Flow'!F51</f>
        <v>169861.41999999998</v>
      </c>
      <c r="G40" s="89">
        <f t="shared" ca="1" si="3"/>
        <v>25138.580000000016</v>
      </c>
      <c r="H40" s="88">
        <f t="shared" ca="1" si="4"/>
        <v>0.87108420512820506</v>
      </c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</row>
    <row r="41" spans="1:26" ht="18" customHeight="1" x14ac:dyDescent="0.2">
      <c r="A41" s="73"/>
      <c r="B41" s="73" t="s">
        <v>206</v>
      </c>
      <c r="C41" s="89">
        <f>'Cash Flow'!E53+'Cash Flow'!E56+'Cash Flow'!E54+'Cash Flow'!E57</f>
        <v>470010</v>
      </c>
      <c r="D41" s="116">
        <f>7867.5+15120</f>
        <v>22987.5</v>
      </c>
      <c r="E41" s="117"/>
      <c r="F41" s="89">
        <f ca="1">'Cash Flow'!F53+'Cash Flow'!F56+'Cash Flow'!F54+'Cash Flow'!F57</f>
        <v>322507.09000000003</v>
      </c>
      <c r="G41" s="89">
        <f t="shared" ca="1" si="3"/>
        <v>124515.40999999997</v>
      </c>
      <c r="H41" s="88">
        <f t="shared" ca="1" si="4"/>
        <v>0.73507923235675843</v>
      </c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</row>
    <row r="42" spans="1:26" ht="18" customHeight="1" x14ac:dyDescent="0.2">
      <c r="A42" s="73"/>
      <c r="B42" s="73" t="s">
        <v>208</v>
      </c>
      <c r="C42" s="89">
        <f>'Cash Flow'!E86+'Cash Flow'!E87+'Cash Flow'!E90</f>
        <v>286913</v>
      </c>
      <c r="D42" s="116">
        <f>24000+11656.1+2700+6000</f>
        <v>44356.1</v>
      </c>
      <c r="E42" s="117"/>
      <c r="F42" s="84">
        <f ca="1">'Cash Flow'!F86+'Cash Flow'!F87+'Cash Flow'!F90</f>
        <v>165706.35</v>
      </c>
      <c r="G42" s="89">
        <f t="shared" ca="1" si="3"/>
        <v>76850.549999999988</v>
      </c>
      <c r="H42" s="88">
        <f t="shared" ca="1" si="4"/>
        <v>0.73214685287874726</v>
      </c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</row>
    <row r="43" spans="1:26" ht="18" customHeight="1" x14ac:dyDescent="0.2">
      <c r="A43" s="73"/>
      <c r="B43" s="73" t="s">
        <v>211</v>
      </c>
      <c r="C43" s="89">
        <f>'Cash Flow'!E64</f>
        <v>12500</v>
      </c>
      <c r="D43" s="116"/>
      <c r="E43" s="117"/>
      <c r="F43" s="89">
        <f ca="1">'Cash Flow'!F62+'Cash Flow'!F64</f>
        <v>72.95</v>
      </c>
      <c r="G43" s="89">
        <f t="shared" ca="1" si="3"/>
        <v>12427.05</v>
      </c>
      <c r="H43" s="88">
        <f t="shared" ca="1" si="4"/>
        <v>5.836E-3</v>
      </c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</row>
    <row r="44" spans="1:26" ht="18" customHeight="1" x14ac:dyDescent="0.2">
      <c r="A44" s="73"/>
      <c r="B44" s="73" t="s">
        <v>215</v>
      </c>
      <c r="C44" s="89">
        <f>'Cash Flow'!E104-SUM('Web Report'!C35:C43)-'Web Report'!C45</f>
        <v>803044.99999999988</v>
      </c>
      <c r="D44" s="116">
        <f>237099.17-164033.27</f>
        <v>73065.900000000023</v>
      </c>
      <c r="E44" s="73"/>
      <c r="F44" s="89">
        <f ca="1">'Cash Flow'!F104-SUM('Web Report'!F35:F43)</f>
        <v>439355.00999999978</v>
      </c>
      <c r="G44" s="89">
        <f t="shared" ca="1" si="3"/>
        <v>290624.09000000008</v>
      </c>
      <c r="H44" s="88">
        <f t="shared" ca="1" si="4"/>
        <v>0.63809737934984945</v>
      </c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</row>
    <row r="45" spans="1:26" ht="18" customHeight="1" x14ac:dyDescent="0.2">
      <c r="A45" s="73"/>
      <c r="B45" s="73" t="s">
        <v>219</v>
      </c>
      <c r="C45" s="89">
        <f>'Cash Flow'!E102</f>
        <v>121414.42</v>
      </c>
      <c r="D45" s="125"/>
      <c r="E45" s="117"/>
      <c r="F45" s="89">
        <f ca="1">+'Cash Flow'!F102</f>
        <v>0</v>
      </c>
      <c r="G45" s="89">
        <f t="shared" ca="1" si="3"/>
        <v>121414.42</v>
      </c>
      <c r="H45" s="88">
        <f t="shared" ca="1" si="4"/>
        <v>0</v>
      </c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</row>
    <row r="46" spans="1:26" ht="18" customHeight="1" x14ac:dyDescent="0.2">
      <c r="A46" s="73"/>
      <c r="B46" s="73"/>
      <c r="C46" s="127"/>
      <c r="D46" s="107"/>
      <c r="E46" s="129"/>
      <c r="F46" s="129"/>
      <c r="G46" s="129"/>
      <c r="H46" s="130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</row>
    <row r="47" spans="1:26" ht="18" customHeight="1" x14ac:dyDescent="0.2">
      <c r="A47" s="73"/>
      <c r="B47" s="78" t="s">
        <v>225</v>
      </c>
      <c r="C47" s="131">
        <f>SUM(C35:C46)</f>
        <v>7324654.4199999999</v>
      </c>
      <c r="D47" s="131">
        <f>SUM(D35:D46)</f>
        <v>237099.17</v>
      </c>
      <c r="E47" s="132"/>
      <c r="F47" s="131">
        <f ca="1">SUM(F35:F46)</f>
        <v>5580128.9099999992</v>
      </c>
      <c r="G47" s="132">
        <f ca="1">SUM(G35:G46)</f>
        <v>1507426.34</v>
      </c>
      <c r="H47" s="133">
        <f ca="1">IFERROR((D47+F47)/C47,0)</f>
        <v>0.794198298846159</v>
      </c>
      <c r="I47" s="73"/>
      <c r="J47" s="73"/>
      <c r="K47" s="134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</row>
    <row r="48" spans="1:26" ht="18" customHeight="1" x14ac:dyDescent="0.2">
      <c r="A48" s="73"/>
      <c r="B48" s="78"/>
      <c r="C48" s="136"/>
      <c r="D48" s="136"/>
      <c r="E48" s="136"/>
      <c r="F48" s="136"/>
      <c r="G48" s="136"/>
      <c r="H48" s="88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</row>
    <row r="49" spans="1:26" ht="18" customHeight="1" x14ac:dyDescent="0.2">
      <c r="A49" s="73"/>
      <c r="B49" s="78"/>
      <c r="C49" s="136"/>
      <c r="D49" s="136"/>
      <c r="E49" s="136"/>
      <c r="F49" s="136"/>
      <c r="G49" s="136"/>
      <c r="H49" s="88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</row>
    <row r="50" spans="1:26" ht="18" customHeight="1" x14ac:dyDescent="0.2">
      <c r="A50" s="73"/>
      <c r="B50" s="78" t="s">
        <v>230</v>
      </c>
      <c r="C50" s="136"/>
      <c r="D50" s="77"/>
      <c r="E50" s="73"/>
      <c r="F50" s="140">
        <f ca="1">+D27-F47</f>
        <v>2723396.580000001</v>
      </c>
      <c r="G50" s="77"/>
      <c r="H50" s="102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</row>
    <row r="51" spans="1:26" ht="18" customHeight="1" x14ac:dyDescent="0.2">
      <c r="A51" s="73"/>
      <c r="B51" s="141" t="s">
        <v>235</v>
      </c>
      <c r="C51" s="76"/>
      <c r="D51" s="77"/>
      <c r="E51" s="73"/>
      <c r="F51" s="140">
        <f ca="1">F50-D47</f>
        <v>2486297.4100000011</v>
      </c>
      <c r="G51" s="134"/>
      <c r="H51" s="102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</row>
    <row r="52" spans="1:26" ht="18" customHeight="1" x14ac:dyDescent="0.2">
      <c r="A52" s="73"/>
      <c r="B52" s="73"/>
      <c r="C52" s="76"/>
      <c r="D52" s="134"/>
      <c r="E52" s="73"/>
      <c r="F52" s="134"/>
      <c r="G52" s="77"/>
      <c r="H52" s="102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</row>
    <row r="53" spans="1:26" ht="18" customHeight="1" x14ac:dyDescent="0.2">
      <c r="A53" s="73"/>
      <c r="B53" s="78"/>
      <c r="C53" s="73"/>
      <c r="D53" s="136"/>
      <c r="E53" s="73"/>
      <c r="F53" s="134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</row>
    <row r="54" spans="1:26" ht="18" customHeight="1" x14ac:dyDescent="0.2">
      <c r="A54" s="73"/>
      <c r="B54" s="78"/>
      <c r="C54" s="73"/>
      <c r="D54" s="136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</row>
    <row r="55" spans="1:26" ht="18" customHeight="1" x14ac:dyDescent="0.2">
      <c r="A55" s="73"/>
      <c r="B55" s="73"/>
      <c r="C55" s="73"/>
      <c r="D55" s="136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73"/>
      <c r="Q55" s="73"/>
      <c r="R55" s="73"/>
      <c r="S55" s="73"/>
      <c r="T55" s="73"/>
      <c r="U55" s="73"/>
      <c r="V55" s="73"/>
      <c r="W55" s="73"/>
      <c r="X55" s="73"/>
      <c r="Y55" s="73"/>
      <c r="Z55" s="73"/>
    </row>
    <row r="56" spans="1:26" ht="18" customHeight="1" x14ac:dyDescent="0.2">
      <c r="A56" s="73"/>
      <c r="B56" s="73"/>
      <c r="C56" s="73"/>
      <c r="D56" s="136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3"/>
      <c r="W56" s="73"/>
      <c r="X56" s="73"/>
      <c r="Y56" s="73"/>
      <c r="Z56" s="73"/>
    </row>
    <row r="57" spans="1:26" ht="18" customHeight="1" x14ac:dyDescent="0.2">
      <c r="A57" s="73"/>
      <c r="B57" s="73"/>
      <c r="C57" s="73"/>
      <c r="D57" s="136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73"/>
      <c r="Q57" s="73"/>
      <c r="R57" s="73"/>
      <c r="S57" s="73"/>
      <c r="T57" s="73"/>
      <c r="U57" s="73"/>
      <c r="V57" s="73"/>
      <c r="W57" s="73"/>
      <c r="X57" s="73"/>
      <c r="Y57" s="73"/>
      <c r="Z57" s="73"/>
    </row>
    <row r="58" spans="1:26" ht="18" customHeight="1" x14ac:dyDescent="0.2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</row>
    <row r="59" spans="1:26" ht="18" customHeight="1" x14ac:dyDescent="0.2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</row>
    <row r="60" spans="1:26" ht="18" customHeight="1" x14ac:dyDescent="0.2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</row>
    <row r="61" spans="1:26" ht="18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</row>
    <row r="62" spans="1:26" ht="18" customHeight="1" x14ac:dyDescent="0.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</row>
    <row r="63" spans="1:26" ht="18" customHeight="1" x14ac:dyDescent="0.2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</row>
    <row r="64" spans="1:26" ht="18" customHeight="1" x14ac:dyDescent="0.2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73"/>
      <c r="Q64" s="73"/>
      <c r="R64" s="73"/>
      <c r="S64" s="73"/>
      <c r="T64" s="73"/>
      <c r="U64" s="73"/>
      <c r="V64" s="73"/>
      <c r="W64" s="73"/>
      <c r="X64" s="73"/>
      <c r="Y64" s="73"/>
      <c r="Z64" s="73"/>
    </row>
    <row r="65" spans="1:26" ht="18" customHeight="1" x14ac:dyDescent="0.2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3"/>
      <c r="S65" s="73"/>
      <c r="T65" s="73"/>
      <c r="U65" s="73"/>
      <c r="V65" s="73"/>
      <c r="W65" s="73"/>
      <c r="X65" s="73"/>
      <c r="Y65" s="73"/>
      <c r="Z65" s="73"/>
    </row>
    <row r="66" spans="1:26" ht="18" customHeight="1" x14ac:dyDescent="0.2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</row>
    <row r="67" spans="1:26" ht="18" customHeight="1" x14ac:dyDescent="0.2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Q67" s="73"/>
      <c r="R67" s="73"/>
      <c r="S67" s="73"/>
      <c r="T67" s="73"/>
      <c r="U67" s="73"/>
      <c r="V67" s="73"/>
      <c r="W67" s="73"/>
      <c r="X67" s="73"/>
      <c r="Y67" s="73"/>
      <c r="Z67" s="73"/>
    </row>
    <row r="68" spans="1:26" ht="18" customHeight="1" x14ac:dyDescent="0.2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Q68" s="73"/>
      <c r="R68" s="73"/>
      <c r="S68" s="73"/>
      <c r="T68" s="73"/>
      <c r="U68" s="73"/>
      <c r="V68" s="73"/>
      <c r="W68" s="73"/>
      <c r="X68" s="73"/>
      <c r="Y68" s="73"/>
      <c r="Z68" s="73"/>
    </row>
    <row r="69" spans="1:26" ht="18" customHeight="1" x14ac:dyDescent="0.2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Q69" s="73"/>
      <c r="R69" s="73"/>
      <c r="S69" s="73"/>
      <c r="T69" s="73"/>
      <c r="U69" s="73"/>
      <c r="V69" s="73"/>
      <c r="W69" s="73"/>
      <c r="X69" s="73"/>
      <c r="Y69" s="73"/>
      <c r="Z69" s="73"/>
    </row>
    <row r="70" spans="1:26" ht="18" customHeight="1" x14ac:dyDescent="0.2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3"/>
      <c r="S70" s="73"/>
      <c r="T70" s="73"/>
      <c r="U70" s="73"/>
      <c r="V70" s="73"/>
      <c r="W70" s="73"/>
      <c r="X70" s="73"/>
      <c r="Y70" s="73"/>
      <c r="Z70" s="73"/>
    </row>
    <row r="71" spans="1:26" ht="18" customHeight="1" x14ac:dyDescent="0.2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Q71" s="73"/>
      <c r="R71" s="73"/>
      <c r="S71" s="73"/>
      <c r="T71" s="73"/>
      <c r="U71" s="73"/>
      <c r="V71" s="73"/>
      <c r="W71" s="73"/>
      <c r="X71" s="73"/>
      <c r="Y71" s="73"/>
      <c r="Z71" s="73"/>
    </row>
    <row r="72" spans="1:26" ht="18" customHeight="1" x14ac:dyDescent="0.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Q72" s="73"/>
      <c r="R72" s="73"/>
      <c r="S72" s="73"/>
      <c r="T72" s="73"/>
      <c r="U72" s="73"/>
      <c r="V72" s="73"/>
      <c r="W72" s="73"/>
      <c r="X72" s="73"/>
      <c r="Y72" s="73"/>
      <c r="Z72" s="73"/>
    </row>
    <row r="73" spans="1:26" ht="18" customHeight="1" x14ac:dyDescent="0.2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Q73" s="73"/>
      <c r="R73" s="73"/>
      <c r="S73" s="73"/>
      <c r="T73" s="73"/>
      <c r="U73" s="73"/>
      <c r="V73" s="73"/>
      <c r="W73" s="73"/>
      <c r="X73" s="73"/>
      <c r="Y73" s="73"/>
      <c r="Z73" s="73"/>
    </row>
    <row r="74" spans="1:26" ht="18" customHeight="1" x14ac:dyDescent="0.2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73"/>
      <c r="V74" s="73"/>
      <c r="W74" s="73"/>
      <c r="X74" s="73"/>
      <c r="Y74" s="73"/>
      <c r="Z74" s="73"/>
    </row>
    <row r="75" spans="1:26" ht="18" customHeight="1" x14ac:dyDescent="0.2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Q75" s="73"/>
      <c r="R75" s="73"/>
      <c r="S75" s="73"/>
      <c r="T75" s="73"/>
      <c r="U75" s="73"/>
      <c r="V75" s="73"/>
      <c r="W75" s="73"/>
      <c r="X75" s="73"/>
      <c r="Y75" s="73"/>
      <c r="Z75" s="73"/>
    </row>
    <row r="76" spans="1:26" ht="18" customHeight="1" x14ac:dyDescent="0.2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</row>
    <row r="77" spans="1:26" ht="18" customHeight="1" x14ac:dyDescent="0.2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</row>
    <row r="78" spans="1:26" ht="18" customHeight="1" x14ac:dyDescent="0.2">
      <c r="A78" s="73"/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</row>
    <row r="79" spans="1:26" ht="18" customHeight="1" x14ac:dyDescent="0.2">
      <c r="A79" s="73"/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</row>
    <row r="80" spans="1:26" ht="18" customHeight="1" x14ac:dyDescent="0.2">
      <c r="A80" s="73"/>
      <c r="B80" s="73"/>
      <c r="C80" s="73"/>
      <c r="D80" s="73"/>
      <c r="E80" s="73"/>
      <c r="F80" s="73"/>
      <c r="G80" s="73"/>
      <c r="H80" s="73"/>
      <c r="I80" s="73"/>
      <c r="J80" s="73"/>
      <c r="K80" s="73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</row>
    <row r="81" spans="1:26" ht="18" customHeight="1" x14ac:dyDescent="0.2">
      <c r="A81" s="73"/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</row>
    <row r="82" spans="1:26" ht="18" customHeight="1" x14ac:dyDescent="0.2">
      <c r="A82" s="73"/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</row>
    <row r="83" spans="1:26" ht="18" customHeight="1" x14ac:dyDescent="0.2">
      <c r="A83" s="73"/>
      <c r="B83" s="73"/>
      <c r="C83" s="73"/>
      <c r="D83" s="73"/>
      <c r="E83" s="73"/>
      <c r="F83" s="7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</row>
    <row r="84" spans="1:26" ht="18" customHeight="1" x14ac:dyDescent="0.2">
      <c r="A84" s="73"/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</row>
    <row r="85" spans="1:26" ht="18" customHeight="1" x14ac:dyDescent="0.2">
      <c r="A85" s="73"/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</row>
    <row r="86" spans="1:26" ht="18" customHeight="1" x14ac:dyDescent="0.2">
      <c r="A86" s="73"/>
      <c r="B86" s="73"/>
      <c r="C86" s="73"/>
      <c r="D86" s="73"/>
      <c r="E86" s="73"/>
      <c r="F86" s="7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</row>
    <row r="87" spans="1:26" ht="18" customHeight="1" x14ac:dyDescent="0.2">
      <c r="A87" s="73"/>
      <c r="B87" s="73"/>
      <c r="C87" s="73"/>
      <c r="D87" s="73"/>
      <c r="E87" s="73"/>
      <c r="F87" s="7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</row>
    <row r="88" spans="1:26" ht="18" customHeight="1" x14ac:dyDescent="0.2">
      <c r="A88" s="73"/>
      <c r="B88" s="73"/>
      <c r="C88" s="73"/>
      <c r="D88" s="73"/>
      <c r="E88" s="73"/>
      <c r="F88" s="7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</row>
    <row r="89" spans="1:26" ht="18" customHeight="1" x14ac:dyDescent="0.2">
      <c r="A89" s="73"/>
      <c r="B89" s="73"/>
      <c r="C89" s="73"/>
      <c r="D89" s="73"/>
      <c r="E89" s="73"/>
      <c r="F89" s="73"/>
      <c r="G89" s="73"/>
      <c r="H89" s="73"/>
      <c r="I89" s="73"/>
      <c r="J89" s="73"/>
      <c r="K89" s="73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</row>
    <row r="90" spans="1:26" ht="18" customHeight="1" x14ac:dyDescent="0.2">
      <c r="A90" s="73"/>
      <c r="B90" s="73"/>
      <c r="C90" s="73"/>
      <c r="D90" s="73"/>
      <c r="E90" s="73"/>
      <c r="F90" s="73"/>
      <c r="G90" s="73"/>
      <c r="H90" s="73"/>
      <c r="I90" s="73"/>
      <c r="J90" s="73"/>
      <c r="K90" s="73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</row>
    <row r="91" spans="1:26" ht="18" customHeight="1" x14ac:dyDescent="0.2">
      <c r="A91" s="73"/>
      <c r="B91" s="73"/>
      <c r="C91" s="73"/>
      <c r="D91" s="73"/>
      <c r="E91" s="73"/>
      <c r="F91" s="73"/>
      <c r="G91" s="73"/>
      <c r="H91" s="73"/>
      <c r="I91" s="73"/>
      <c r="J91" s="73"/>
      <c r="K91" s="73"/>
      <c r="L91" s="73"/>
      <c r="M91" s="73"/>
      <c r="N91" s="73"/>
      <c r="O91" s="73"/>
      <c r="P91" s="73"/>
      <c r="Q91" s="73"/>
      <c r="R91" s="73"/>
      <c r="S91" s="73"/>
      <c r="T91" s="73"/>
      <c r="U91" s="73"/>
      <c r="V91" s="73"/>
      <c r="W91" s="73"/>
      <c r="X91" s="73"/>
      <c r="Y91" s="73"/>
      <c r="Z91" s="73"/>
    </row>
    <row r="92" spans="1:26" ht="18" customHeight="1" x14ac:dyDescent="0.2">
      <c r="A92" s="73"/>
      <c r="B92" s="73"/>
      <c r="C92" s="73"/>
      <c r="D92" s="73"/>
      <c r="E92" s="73"/>
      <c r="F92" s="73"/>
      <c r="G92" s="73"/>
      <c r="H92" s="73"/>
      <c r="I92" s="73"/>
      <c r="J92" s="73"/>
      <c r="K92" s="73"/>
      <c r="L92" s="73"/>
      <c r="M92" s="73"/>
      <c r="N92" s="73"/>
      <c r="O92" s="73"/>
      <c r="P92" s="73"/>
      <c r="Q92" s="73"/>
      <c r="R92" s="73"/>
      <c r="S92" s="73"/>
      <c r="T92" s="73"/>
      <c r="U92" s="73"/>
      <c r="V92" s="73"/>
      <c r="W92" s="73"/>
      <c r="X92" s="73"/>
      <c r="Y92" s="73"/>
      <c r="Z92" s="73"/>
    </row>
    <row r="93" spans="1:26" ht="18" customHeight="1" x14ac:dyDescent="0.2">
      <c r="A93" s="73"/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73"/>
      <c r="T93" s="73"/>
      <c r="U93" s="73"/>
      <c r="V93" s="73"/>
      <c r="W93" s="73"/>
      <c r="X93" s="73"/>
      <c r="Y93" s="73"/>
      <c r="Z93" s="73"/>
    </row>
    <row r="94" spans="1:26" ht="18" customHeight="1" x14ac:dyDescent="0.2">
      <c r="A94" s="73"/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3"/>
      <c r="P94" s="73"/>
      <c r="Q94" s="73"/>
      <c r="R94" s="73"/>
      <c r="S94" s="73"/>
      <c r="T94" s="73"/>
      <c r="U94" s="73"/>
      <c r="V94" s="73"/>
      <c r="W94" s="73"/>
      <c r="X94" s="73"/>
      <c r="Y94" s="73"/>
      <c r="Z94" s="73"/>
    </row>
    <row r="95" spans="1:26" ht="18" customHeight="1" x14ac:dyDescent="0.2">
      <c r="A95" s="73"/>
      <c r="B95" s="73"/>
      <c r="C95" s="73"/>
      <c r="D95" s="73"/>
      <c r="E95" s="73"/>
      <c r="F95" s="73"/>
      <c r="G95" s="73"/>
      <c r="H95" s="73"/>
      <c r="I95" s="73"/>
      <c r="J95" s="73"/>
      <c r="K95" s="73"/>
      <c r="L95" s="73"/>
      <c r="M95" s="73"/>
      <c r="N95" s="73"/>
      <c r="O95" s="73"/>
      <c r="P95" s="73"/>
      <c r="Q95" s="73"/>
      <c r="R95" s="73"/>
      <c r="S95" s="73"/>
      <c r="T95" s="73"/>
      <c r="U95" s="73"/>
      <c r="V95" s="73"/>
      <c r="W95" s="73"/>
      <c r="X95" s="73"/>
      <c r="Y95" s="73"/>
      <c r="Z95" s="73"/>
    </row>
    <row r="96" spans="1:26" ht="18" customHeight="1" x14ac:dyDescent="0.2">
      <c r="A96" s="73"/>
      <c r="B96" s="73"/>
      <c r="C96" s="73"/>
      <c r="D96" s="73"/>
      <c r="E96" s="73"/>
      <c r="F96" s="73"/>
      <c r="G96" s="73"/>
      <c r="H96" s="73"/>
      <c r="I96" s="73"/>
      <c r="J96" s="73"/>
      <c r="K96" s="73"/>
      <c r="L96" s="73"/>
      <c r="M96" s="73"/>
      <c r="N96" s="73"/>
      <c r="O96" s="73"/>
      <c r="P96" s="73"/>
      <c r="Q96" s="73"/>
      <c r="R96" s="73"/>
      <c r="S96" s="73"/>
      <c r="T96" s="73"/>
      <c r="U96" s="73"/>
      <c r="V96" s="73"/>
      <c r="W96" s="73"/>
      <c r="X96" s="73"/>
      <c r="Y96" s="73"/>
      <c r="Z96" s="73"/>
    </row>
    <row r="97" spans="1:26" ht="18" customHeight="1" x14ac:dyDescent="0.2">
      <c r="A97" s="73"/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3"/>
      <c r="Q97" s="73"/>
      <c r="R97" s="73"/>
      <c r="S97" s="73"/>
      <c r="T97" s="73"/>
      <c r="U97" s="73"/>
      <c r="V97" s="73"/>
      <c r="W97" s="73"/>
      <c r="X97" s="73"/>
      <c r="Y97" s="73"/>
      <c r="Z97" s="73"/>
    </row>
    <row r="98" spans="1:26" ht="18" customHeight="1" x14ac:dyDescent="0.2">
      <c r="A98" s="73"/>
      <c r="B98" s="73"/>
      <c r="C98" s="73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3"/>
      <c r="S98" s="73"/>
      <c r="T98" s="73"/>
      <c r="U98" s="73"/>
      <c r="V98" s="73"/>
      <c r="W98" s="73"/>
      <c r="X98" s="73"/>
      <c r="Y98" s="73"/>
      <c r="Z98" s="73"/>
    </row>
    <row r="99" spans="1:26" ht="18" customHeight="1" x14ac:dyDescent="0.2">
      <c r="A99" s="73"/>
      <c r="B99" s="73"/>
      <c r="C99" s="73"/>
      <c r="D99" s="73"/>
      <c r="E99" s="73"/>
      <c r="F99" s="73"/>
      <c r="G99" s="73"/>
      <c r="H99" s="73"/>
      <c r="I99" s="73"/>
      <c r="J99" s="73"/>
      <c r="K99" s="73"/>
      <c r="L99" s="73"/>
      <c r="M99" s="73"/>
      <c r="N99" s="73"/>
      <c r="O99" s="73"/>
      <c r="P99" s="73"/>
      <c r="Q99" s="73"/>
      <c r="R99" s="73"/>
      <c r="S99" s="73"/>
      <c r="T99" s="73"/>
      <c r="U99" s="73"/>
      <c r="V99" s="73"/>
      <c r="W99" s="73"/>
      <c r="X99" s="73"/>
      <c r="Y99" s="73"/>
      <c r="Z99" s="73"/>
    </row>
    <row r="100" spans="1:26" ht="18" customHeight="1" x14ac:dyDescent="0.2">
      <c r="A100" s="73"/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3"/>
      <c r="S100" s="73"/>
      <c r="T100" s="73"/>
      <c r="U100" s="73"/>
      <c r="V100" s="73"/>
      <c r="W100" s="73"/>
      <c r="X100" s="73"/>
      <c r="Y100" s="73"/>
      <c r="Z100" s="73"/>
    </row>
    <row r="101" spans="1:26" ht="18" customHeight="1" x14ac:dyDescent="0.2">
      <c r="A101" s="73"/>
      <c r="B101" s="73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3"/>
      <c r="O101" s="73"/>
      <c r="P101" s="73"/>
      <c r="Q101" s="73"/>
      <c r="R101" s="73"/>
      <c r="S101" s="73"/>
      <c r="T101" s="73"/>
      <c r="U101" s="73"/>
      <c r="V101" s="73"/>
      <c r="W101" s="73"/>
      <c r="X101" s="73"/>
      <c r="Y101" s="73"/>
      <c r="Z101" s="73"/>
    </row>
    <row r="102" spans="1:26" ht="18" customHeight="1" x14ac:dyDescent="0.2">
      <c r="A102" s="73"/>
      <c r="B102" s="73"/>
      <c r="C102" s="73"/>
      <c r="D102" s="73"/>
      <c r="E102" s="73"/>
      <c r="F102" s="73"/>
      <c r="G102" s="73"/>
      <c r="H102" s="73"/>
      <c r="I102" s="73"/>
      <c r="J102" s="73"/>
      <c r="K102" s="73"/>
      <c r="L102" s="73"/>
      <c r="M102" s="73"/>
      <c r="N102" s="73"/>
      <c r="O102" s="73"/>
      <c r="P102" s="73"/>
      <c r="Q102" s="73"/>
      <c r="R102" s="73"/>
      <c r="S102" s="73"/>
      <c r="T102" s="73"/>
      <c r="U102" s="73"/>
      <c r="V102" s="73"/>
      <c r="W102" s="73"/>
      <c r="X102" s="73"/>
      <c r="Y102" s="73"/>
      <c r="Z102" s="73"/>
    </row>
    <row r="103" spans="1:26" ht="18" customHeight="1" x14ac:dyDescent="0.2">
      <c r="A103" s="73"/>
      <c r="B103" s="73"/>
      <c r="C103" s="73"/>
      <c r="D103" s="73"/>
      <c r="E103" s="73"/>
      <c r="F103" s="73"/>
      <c r="G103" s="73"/>
      <c r="H103" s="73"/>
      <c r="I103" s="73"/>
      <c r="J103" s="73"/>
      <c r="K103" s="73"/>
      <c r="L103" s="73"/>
      <c r="M103" s="73"/>
      <c r="N103" s="73"/>
      <c r="O103" s="73"/>
      <c r="P103" s="73"/>
      <c r="Q103" s="73"/>
      <c r="R103" s="73"/>
      <c r="S103" s="73"/>
      <c r="T103" s="73"/>
      <c r="U103" s="73"/>
      <c r="V103" s="73"/>
      <c r="W103" s="73"/>
      <c r="X103" s="73"/>
      <c r="Y103" s="73"/>
      <c r="Z103" s="73"/>
    </row>
    <row r="104" spans="1:26" ht="18" customHeight="1" x14ac:dyDescent="0.2">
      <c r="A104" s="73"/>
      <c r="B104" s="73"/>
      <c r="C104" s="73"/>
      <c r="D104" s="73"/>
      <c r="E104" s="73"/>
      <c r="F104" s="73"/>
      <c r="G104" s="73"/>
      <c r="H104" s="73"/>
      <c r="I104" s="73"/>
      <c r="J104" s="73"/>
      <c r="K104" s="73"/>
      <c r="L104" s="73"/>
      <c r="M104" s="73"/>
      <c r="N104" s="73"/>
      <c r="O104" s="73"/>
      <c r="P104" s="73"/>
      <c r="Q104" s="73"/>
      <c r="R104" s="73"/>
      <c r="S104" s="73"/>
      <c r="T104" s="73"/>
      <c r="U104" s="73"/>
      <c r="V104" s="73"/>
      <c r="W104" s="73"/>
      <c r="X104" s="73"/>
      <c r="Y104" s="73"/>
      <c r="Z104" s="73"/>
    </row>
    <row r="105" spans="1:26" ht="18" customHeight="1" x14ac:dyDescent="0.2">
      <c r="A105" s="73"/>
      <c r="B105" s="73"/>
      <c r="C105" s="73"/>
      <c r="D105" s="73"/>
      <c r="E105" s="73"/>
      <c r="F105" s="73"/>
      <c r="G105" s="73"/>
      <c r="H105" s="73"/>
      <c r="I105" s="73"/>
      <c r="J105" s="73"/>
      <c r="K105" s="73"/>
      <c r="L105" s="73"/>
      <c r="M105" s="73"/>
      <c r="N105" s="73"/>
      <c r="O105" s="73"/>
      <c r="P105" s="73"/>
      <c r="Q105" s="73"/>
      <c r="R105" s="73"/>
      <c r="S105" s="73"/>
      <c r="T105" s="73"/>
      <c r="U105" s="73"/>
      <c r="V105" s="73"/>
      <c r="W105" s="73"/>
      <c r="X105" s="73"/>
      <c r="Y105" s="73"/>
      <c r="Z105" s="73"/>
    </row>
    <row r="106" spans="1:26" ht="18" customHeight="1" x14ac:dyDescent="0.2">
      <c r="A106" s="73"/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</row>
    <row r="107" spans="1:26" ht="18" customHeight="1" x14ac:dyDescent="0.2">
      <c r="A107" s="73"/>
      <c r="B107" s="73"/>
      <c r="C107" s="73"/>
      <c r="D107" s="73"/>
      <c r="E107" s="73"/>
      <c r="F107" s="73"/>
      <c r="G107" s="73"/>
      <c r="H107" s="73"/>
      <c r="I107" s="73"/>
      <c r="J107" s="73"/>
      <c r="K107" s="73"/>
      <c r="L107" s="73"/>
      <c r="M107" s="73"/>
      <c r="N107" s="73"/>
      <c r="O107" s="73"/>
      <c r="P107" s="73"/>
      <c r="Q107" s="73"/>
      <c r="R107" s="73"/>
      <c r="S107" s="73"/>
      <c r="T107" s="73"/>
      <c r="U107" s="73"/>
      <c r="V107" s="73"/>
      <c r="W107" s="73"/>
      <c r="X107" s="73"/>
      <c r="Y107" s="73"/>
      <c r="Z107" s="73"/>
    </row>
    <row r="108" spans="1:26" ht="18" customHeight="1" x14ac:dyDescent="0.2">
      <c r="A108" s="73"/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3"/>
      <c r="S108" s="73"/>
      <c r="T108" s="73"/>
      <c r="U108" s="73"/>
      <c r="V108" s="73"/>
      <c r="W108" s="73"/>
      <c r="X108" s="73"/>
      <c r="Y108" s="73"/>
      <c r="Z108" s="73"/>
    </row>
    <row r="109" spans="1:26" ht="18" customHeight="1" x14ac:dyDescent="0.2">
      <c r="A109" s="73"/>
      <c r="B109" s="73"/>
      <c r="C109" s="73"/>
      <c r="D109" s="73"/>
      <c r="E109" s="73"/>
      <c r="F109" s="73"/>
      <c r="G109" s="73"/>
      <c r="H109" s="73"/>
      <c r="I109" s="73"/>
      <c r="J109" s="73"/>
      <c r="K109" s="73"/>
      <c r="L109" s="73"/>
      <c r="M109" s="73"/>
      <c r="N109" s="73"/>
      <c r="O109" s="73"/>
      <c r="P109" s="73"/>
      <c r="Q109" s="73"/>
      <c r="R109" s="73"/>
      <c r="S109" s="73"/>
      <c r="T109" s="73"/>
      <c r="U109" s="73"/>
      <c r="V109" s="73"/>
      <c r="W109" s="73"/>
      <c r="X109" s="73"/>
      <c r="Y109" s="73"/>
      <c r="Z109" s="73"/>
    </row>
    <row r="110" spans="1:26" ht="18" customHeight="1" x14ac:dyDescent="0.2">
      <c r="A110" s="73"/>
      <c r="B110" s="73"/>
      <c r="C110" s="73"/>
      <c r="D110" s="73"/>
      <c r="E110" s="73"/>
      <c r="F110" s="73"/>
      <c r="G110" s="73"/>
      <c r="H110" s="73"/>
      <c r="I110" s="73"/>
      <c r="J110" s="73"/>
      <c r="K110" s="73"/>
      <c r="L110" s="73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</row>
    <row r="111" spans="1:26" ht="18" customHeight="1" x14ac:dyDescent="0.2">
      <c r="A111" s="73"/>
      <c r="B111" s="73"/>
      <c r="C111" s="73"/>
      <c r="D111" s="73"/>
      <c r="E111" s="73"/>
      <c r="F111" s="73"/>
      <c r="G111" s="73"/>
      <c r="H111" s="73"/>
      <c r="I111" s="73"/>
      <c r="J111" s="73"/>
      <c r="K111" s="73"/>
      <c r="L111" s="73"/>
      <c r="M111" s="73"/>
      <c r="N111" s="73"/>
      <c r="O111" s="73"/>
      <c r="P111" s="73"/>
      <c r="Q111" s="73"/>
      <c r="R111" s="73"/>
      <c r="S111" s="73"/>
      <c r="T111" s="73"/>
      <c r="U111" s="73"/>
      <c r="V111" s="73"/>
      <c r="W111" s="73"/>
      <c r="X111" s="73"/>
      <c r="Y111" s="73"/>
      <c r="Z111" s="73"/>
    </row>
    <row r="112" spans="1:26" ht="18" customHeight="1" x14ac:dyDescent="0.2">
      <c r="A112" s="73"/>
      <c r="B112" s="73"/>
      <c r="C112" s="73"/>
      <c r="D112" s="73"/>
      <c r="E112" s="73"/>
      <c r="F112" s="73"/>
      <c r="G112" s="73"/>
      <c r="H112" s="73"/>
      <c r="I112" s="73"/>
      <c r="J112" s="73"/>
      <c r="K112" s="73"/>
      <c r="L112" s="73"/>
      <c r="M112" s="73"/>
      <c r="N112" s="73"/>
      <c r="O112" s="73"/>
      <c r="P112" s="73"/>
      <c r="Q112" s="73"/>
      <c r="R112" s="73"/>
      <c r="S112" s="73"/>
      <c r="T112" s="73"/>
      <c r="U112" s="73"/>
      <c r="V112" s="73"/>
      <c r="W112" s="73"/>
      <c r="X112" s="73"/>
      <c r="Y112" s="73"/>
      <c r="Z112" s="73"/>
    </row>
    <row r="113" spans="1:26" ht="18" customHeight="1" x14ac:dyDescent="0.2">
      <c r="A113" s="73"/>
      <c r="B113" s="73"/>
      <c r="C113" s="73"/>
      <c r="D113" s="73"/>
      <c r="E113" s="73"/>
      <c r="F113" s="73"/>
      <c r="G113" s="73"/>
      <c r="H113" s="73"/>
      <c r="I113" s="73"/>
      <c r="J113" s="73"/>
      <c r="K113" s="73"/>
      <c r="L113" s="73"/>
      <c r="M113" s="73"/>
      <c r="N113" s="73"/>
      <c r="O113" s="73"/>
      <c r="P113" s="73"/>
      <c r="Q113" s="73"/>
      <c r="R113" s="73"/>
      <c r="S113" s="73"/>
      <c r="T113" s="73"/>
      <c r="U113" s="73"/>
      <c r="V113" s="73"/>
      <c r="W113" s="73"/>
      <c r="X113" s="73"/>
      <c r="Y113" s="73"/>
      <c r="Z113" s="73"/>
    </row>
    <row r="114" spans="1:26" ht="18" customHeight="1" x14ac:dyDescent="0.2">
      <c r="A114" s="73"/>
      <c r="B114" s="73"/>
      <c r="C114" s="73"/>
      <c r="D114" s="73"/>
      <c r="E114" s="73"/>
      <c r="F114" s="73"/>
      <c r="G114" s="73"/>
      <c r="H114" s="73"/>
      <c r="I114" s="73"/>
      <c r="J114" s="73"/>
      <c r="K114" s="73"/>
      <c r="L114" s="73"/>
      <c r="M114" s="73"/>
      <c r="N114" s="73"/>
      <c r="O114" s="73"/>
      <c r="P114" s="73"/>
      <c r="Q114" s="73"/>
      <c r="R114" s="73"/>
      <c r="S114" s="73"/>
      <c r="T114" s="73"/>
      <c r="U114" s="73"/>
      <c r="V114" s="73"/>
      <c r="W114" s="73"/>
      <c r="X114" s="73"/>
      <c r="Y114" s="73"/>
      <c r="Z114" s="73"/>
    </row>
    <row r="115" spans="1:26" ht="18" customHeight="1" x14ac:dyDescent="0.2">
      <c r="A115" s="73"/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3"/>
      <c r="S115" s="73"/>
      <c r="T115" s="73"/>
      <c r="U115" s="73"/>
      <c r="V115" s="73"/>
      <c r="W115" s="73"/>
      <c r="X115" s="73"/>
      <c r="Y115" s="73"/>
      <c r="Z115" s="73"/>
    </row>
    <row r="116" spans="1:26" ht="18" customHeight="1" x14ac:dyDescent="0.2">
      <c r="A116" s="73"/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3"/>
      <c r="Q116" s="73"/>
      <c r="R116" s="73"/>
      <c r="S116" s="73"/>
      <c r="T116" s="73"/>
      <c r="U116" s="73"/>
      <c r="V116" s="73"/>
      <c r="W116" s="73"/>
      <c r="X116" s="73"/>
      <c r="Y116" s="73"/>
      <c r="Z116" s="73"/>
    </row>
    <row r="117" spans="1:26" ht="18" customHeight="1" x14ac:dyDescent="0.2">
      <c r="A117" s="73"/>
      <c r="B117" s="73"/>
      <c r="C117" s="73"/>
      <c r="D117" s="73"/>
      <c r="E117" s="73"/>
      <c r="F117" s="73"/>
      <c r="G117" s="73"/>
      <c r="H117" s="73"/>
      <c r="I117" s="73"/>
      <c r="J117" s="73"/>
      <c r="K117" s="73"/>
      <c r="L117" s="73"/>
      <c r="M117" s="73"/>
      <c r="N117" s="73"/>
      <c r="O117" s="73"/>
      <c r="P117" s="73"/>
      <c r="Q117" s="73"/>
      <c r="R117" s="73"/>
      <c r="S117" s="73"/>
      <c r="T117" s="73"/>
      <c r="U117" s="73"/>
      <c r="V117" s="73"/>
      <c r="W117" s="73"/>
      <c r="X117" s="73"/>
      <c r="Y117" s="73"/>
      <c r="Z117" s="73"/>
    </row>
    <row r="118" spans="1:26" ht="18" customHeight="1" x14ac:dyDescent="0.2">
      <c r="A118" s="73"/>
      <c r="B118" s="73"/>
      <c r="C118" s="73"/>
      <c r="D118" s="73"/>
      <c r="E118" s="73"/>
      <c r="F118" s="73"/>
      <c r="G118" s="73"/>
      <c r="H118" s="73"/>
      <c r="I118" s="73"/>
      <c r="J118" s="73"/>
      <c r="K118" s="73"/>
      <c r="L118" s="73"/>
      <c r="M118" s="73"/>
      <c r="N118" s="73"/>
      <c r="O118" s="73"/>
      <c r="P118" s="73"/>
      <c r="Q118" s="73"/>
      <c r="R118" s="73"/>
      <c r="S118" s="73"/>
      <c r="T118" s="73"/>
      <c r="U118" s="73"/>
      <c r="V118" s="73"/>
      <c r="W118" s="73"/>
      <c r="X118" s="73"/>
      <c r="Y118" s="73"/>
      <c r="Z118" s="73"/>
    </row>
    <row r="119" spans="1:26" ht="18" customHeight="1" x14ac:dyDescent="0.2">
      <c r="A119" s="73"/>
      <c r="B119" s="73"/>
      <c r="C119" s="73"/>
      <c r="D119" s="73"/>
      <c r="E119" s="73"/>
      <c r="F119" s="73"/>
      <c r="G119" s="73"/>
      <c r="H119" s="73"/>
      <c r="I119" s="73"/>
      <c r="J119" s="73"/>
      <c r="K119" s="73"/>
      <c r="L119" s="73"/>
      <c r="M119" s="73"/>
      <c r="N119" s="73"/>
      <c r="O119" s="73"/>
      <c r="P119" s="73"/>
      <c r="Q119" s="73"/>
      <c r="R119" s="73"/>
      <c r="S119" s="73"/>
      <c r="T119" s="73"/>
      <c r="U119" s="73"/>
      <c r="V119" s="73"/>
      <c r="W119" s="73"/>
      <c r="X119" s="73"/>
      <c r="Y119" s="73"/>
      <c r="Z119" s="73"/>
    </row>
    <row r="120" spans="1:26" ht="18" customHeight="1" x14ac:dyDescent="0.2">
      <c r="A120" s="73"/>
      <c r="B120" s="73"/>
      <c r="C120" s="73"/>
      <c r="D120" s="73"/>
      <c r="E120" s="73"/>
      <c r="F120" s="73"/>
      <c r="G120" s="73"/>
      <c r="H120" s="73"/>
      <c r="I120" s="73"/>
      <c r="J120" s="73"/>
      <c r="K120" s="73"/>
      <c r="L120" s="73"/>
      <c r="M120" s="73"/>
      <c r="N120" s="73"/>
      <c r="O120" s="73"/>
      <c r="P120" s="73"/>
      <c r="Q120" s="73"/>
      <c r="R120" s="73"/>
      <c r="S120" s="73"/>
      <c r="T120" s="73"/>
      <c r="U120" s="73"/>
      <c r="V120" s="73"/>
      <c r="W120" s="73"/>
      <c r="X120" s="73"/>
      <c r="Y120" s="73"/>
      <c r="Z120" s="73"/>
    </row>
    <row r="121" spans="1:26" ht="18" customHeight="1" x14ac:dyDescent="0.2">
      <c r="A121" s="73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</row>
    <row r="122" spans="1:26" ht="18" customHeight="1" x14ac:dyDescent="0.2">
      <c r="A122" s="73"/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3"/>
      <c r="S122" s="73"/>
      <c r="T122" s="73"/>
      <c r="U122" s="73"/>
      <c r="V122" s="73"/>
      <c r="W122" s="73"/>
      <c r="X122" s="73"/>
      <c r="Y122" s="73"/>
      <c r="Z122" s="73"/>
    </row>
    <row r="123" spans="1:26" ht="18" customHeight="1" x14ac:dyDescent="0.2">
      <c r="A123" s="73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</row>
    <row r="124" spans="1:26" ht="18" customHeight="1" x14ac:dyDescent="0.2">
      <c r="A124" s="73"/>
      <c r="B124" s="73"/>
      <c r="C124" s="73"/>
      <c r="D124" s="73"/>
      <c r="E124" s="73"/>
      <c r="F124" s="73"/>
      <c r="G124" s="73"/>
      <c r="H124" s="73"/>
      <c r="I124" s="73"/>
      <c r="J124" s="73"/>
      <c r="K124" s="73"/>
      <c r="L124" s="73"/>
      <c r="M124" s="73"/>
      <c r="N124" s="73"/>
      <c r="O124" s="73"/>
      <c r="P124" s="73"/>
      <c r="Q124" s="73"/>
      <c r="R124" s="73"/>
      <c r="S124" s="73"/>
      <c r="T124" s="73"/>
      <c r="U124" s="73"/>
      <c r="V124" s="73"/>
      <c r="W124" s="73"/>
      <c r="X124" s="73"/>
      <c r="Y124" s="73"/>
      <c r="Z124" s="73"/>
    </row>
    <row r="125" spans="1:26" ht="18" customHeight="1" x14ac:dyDescent="0.2">
      <c r="A125" s="73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</row>
    <row r="126" spans="1:26" ht="18" customHeight="1" x14ac:dyDescent="0.2">
      <c r="A126" s="73"/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73"/>
      <c r="Z126" s="73"/>
    </row>
    <row r="127" spans="1:26" ht="18" customHeight="1" x14ac:dyDescent="0.2">
      <c r="A127" s="73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</row>
    <row r="128" spans="1:26" ht="18" customHeight="1" x14ac:dyDescent="0.2">
      <c r="A128" s="73"/>
      <c r="B128" s="73"/>
      <c r="C128" s="73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</row>
    <row r="129" spans="1:26" ht="18" customHeight="1" x14ac:dyDescent="0.2">
      <c r="A129" s="73"/>
      <c r="B129" s="73"/>
      <c r="C129" s="73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  <c r="O129" s="73"/>
      <c r="P129" s="73"/>
      <c r="Q129" s="73"/>
      <c r="R129" s="73"/>
      <c r="S129" s="73"/>
      <c r="T129" s="73"/>
      <c r="U129" s="73"/>
      <c r="V129" s="73"/>
      <c r="W129" s="73"/>
      <c r="X129" s="73"/>
      <c r="Y129" s="73"/>
      <c r="Z129" s="73"/>
    </row>
    <row r="130" spans="1:26" ht="18" customHeight="1" x14ac:dyDescent="0.2">
      <c r="A130" s="73"/>
      <c r="B130" s="73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3"/>
      <c r="S130" s="73"/>
      <c r="T130" s="73"/>
      <c r="U130" s="73"/>
      <c r="V130" s="73"/>
      <c r="W130" s="73"/>
      <c r="X130" s="73"/>
      <c r="Y130" s="73"/>
      <c r="Z130" s="73"/>
    </row>
    <row r="131" spans="1:26" ht="18" customHeight="1" x14ac:dyDescent="0.2">
      <c r="A131" s="73"/>
      <c r="B131" s="73"/>
      <c r="C131" s="73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  <c r="O131" s="73"/>
      <c r="P131" s="73"/>
      <c r="Q131" s="73"/>
      <c r="R131" s="73"/>
      <c r="S131" s="73"/>
      <c r="T131" s="73"/>
      <c r="U131" s="73"/>
      <c r="V131" s="73"/>
      <c r="W131" s="73"/>
      <c r="X131" s="73"/>
      <c r="Y131" s="73"/>
      <c r="Z131" s="73"/>
    </row>
    <row r="132" spans="1:26" ht="18" customHeight="1" x14ac:dyDescent="0.2">
      <c r="A132" s="73"/>
      <c r="B132" s="73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73"/>
      <c r="Q132" s="73"/>
      <c r="R132" s="73"/>
      <c r="S132" s="73"/>
      <c r="T132" s="73"/>
      <c r="U132" s="73"/>
      <c r="V132" s="73"/>
      <c r="W132" s="73"/>
      <c r="X132" s="73"/>
      <c r="Y132" s="73"/>
      <c r="Z132" s="73"/>
    </row>
    <row r="133" spans="1:26" ht="18" customHeight="1" x14ac:dyDescent="0.2">
      <c r="A133" s="73"/>
      <c r="B133" s="73"/>
      <c r="C133" s="73"/>
      <c r="D133" s="73"/>
      <c r="E133" s="73"/>
      <c r="F133" s="73"/>
      <c r="G133" s="73"/>
      <c r="H133" s="73"/>
      <c r="I133" s="73"/>
      <c r="J133" s="73"/>
      <c r="K133" s="73"/>
      <c r="L133" s="73"/>
      <c r="M133" s="73"/>
      <c r="N133" s="73"/>
      <c r="O133" s="73"/>
      <c r="P133" s="73"/>
      <c r="Q133" s="73"/>
      <c r="R133" s="73"/>
      <c r="S133" s="73"/>
      <c r="T133" s="73"/>
      <c r="U133" s="73"/>
      <c r="V133" s="73"/>
      <c r="W133" s="73"/>
      <c r="X133" s="73"/>
      <c r="Y133" s="73"/>
      <c r="Z133" s="73"/>
    </row>
    <row r="134" spans="1:26" ht="18" customHeight="1" x14ac:dyDescent="0.2">
      <c r="A134" s="73"/>
      <c r="B134" s="73"/>
      <c r="C134" s="73"/>
      <c r="D134" s="73"/>
      <c r="E134" s="73"/>
      <c r="F134" s="73"/>
      <c r="G134" s="73"/>
      <c r="H134" s="73"/>
      <c r="I134" s="73"/>
      <c r="J134" s="73"/>
      <c r="K134" s="73"/>
      <c r="L134" s="73"/>
      <c r="M134" s="73"/>
      <c r="N134" s="73"/>
      <c r="O134" s="73"/>
      <c r="P134" s="73"/>
      <c r="Q134" s="73"/>
      <c r="R134" s="73"/>
      <c r="S134" s="73"/>
      <c r="T134" s="73"/>
      <c r="U134" s="73"/>
      <c r="V134" s="73"/>
      <c r="W134" s="73"/>
      <c r="X134" s="73"/>
      <c r="Y134" s="73"/>
      <c r="Z134" s="73"/>
    </row>
    <row r="135" spans="1:26" ht="18" customHeight="1" x14ac:dyDescent="0.2">
      <c r="A135" s="73"/>
      <c r="B135" s="73"/>
      <c r="C135" s="73"/>
      <c r="D135" s="73"/>
      <c r="E135" s="73"/>
      <c r="F135" s="73"/>
      <c r="G135" s="73"/>
      <c r="H135" s="73"/>
      <c r="I135" s="73"/>
      <c r="J135" s="73"/>
      <c r="K135" s="73"/>
      <c r="L135" s="73"/>
      <c r="M135" s="73"/>
      <c r="N135" s="73"/>
      <c r="O135" s="73"/>
      <c r="P135" s="73"/>
      <c r="Q135" s="73"/>
      <c r="R135" s="73"/>
      <c r="S135" s="73"/>
      <c r="T135" s="73"/>
      <c r="U135" s="73"/>
      <c r="V135" s="73"/>
      <c r="W135" s="73"/>
      <c r="X135" s="73"/>
      <c r="Y135" s="73"/>
      <c r="Z135" s="73"/>
    </row>
    <row r="136" spans="1:26" ht="18" customHeight="1" x14ac:dyDescent="0.2">
      <c r="A136" s="73"/>
      <c r="B136" s="73"/>
      <c r="C136" s="73"/>
      <c r="D136" s="73"/>
      <c r="E136" s="73"/>
      <c r="F136" s="73"/>
      <c r="G136" s="73"/>
      <c r="H136" s="73"/>
      <c r="I136" s="73"/>
      <c r="J136" s="73"/>
      <c r="K136" s="73"/>
      <c r="L136" s="73"/>
      <c r="M136" s="73"/>
      <c r="N136" s="73"/>
      <c r="O136" s="73"/>
      <c r="P136" s="73"/>
      <c r="Q136" s="73"/>
      <c r="R136" s="73"/>
      <c r="S136" s="73"/>
      <c r="T136" s="73"/>
      <c r="U136" s="73"/>
      <c r="V136" s="73"/>
      <c r="W136" s="73"/>
      <c r="X136" s="73"/>
      <c r="Y136" s="73"/>
      <c r="Z136" s="73"/>
    </row>
    <row r="137" spans="1:26" ht="18" customHeight="1" x14ac:dyDescent="0.2">
      <c r="A137" s="73"/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3"/>
      <c r="S137" s="73"/>
      <c r="T137" s="73"/>
      <c r="U137" s="73"/>
      <c r="V137" s="73"/>
      <c r="W137" s="73"/>
      <c r="X137" s="73"/>
      <c r="Y137" s="73"/>
      <c r="Z137" s="73"/>
    </row>
    <row r="138" spans="1:26" ht="18" customHeight="1" x14ac:dyDescent="0.2">
      <c r="A138" s="73"/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</row>
    <row r="139" spans="1:26" ht="18" customHeight="1" x14ac:dyDescent="0.2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3"/>
      <c r="L139" s="73"/>
      <c r="M139" s="73"/>
      <c r="N139" s="73"/>
      <c r="O139" s="73"/>
      <c r="P139" s="73"/>
      <c r="Q139" s="73"/>
      <c r="R139" s="73"/>
      <c r="S139" s="73"/>
      <c r="T139" s="73"/>
      <c r="U139" s="73"/>
      <c r="V139" s="73"/>
      <c r="W139" s="73"/>
      <c r="X139" s="73"/>
      <c r="Y139" s="73"/>
      <c r="Z139" s="73"/>
    </row>
    <row r="140" spans="1:26" ht="18" customHeight="1" x14ac:dyDescent="0.2">
      <c r="A140" s="73"/>
      <c r="B140" s="73"/>
      <c r="C140" s="73"/>
      <c r="D140" s="73"/>
      <c r="E140" s="73"/>
      <c r="F140" s="73"/>
      <c r="G140" s="73"/>
      <c r="H140" s="73"/>
      <c r="I140" s="73"/>
      <c r="J140" s="73"/>
      <c r="K140" s="73"/>
      <c r="L140" s="73"/>
      <c r="M140" s="73"/>
      <c r="N140" s="73"/>
      <c r="O140" s="73"/>
      <c r="P140" s="73"/>
      <c r="Q140" s="73"/>
      <c r="R140" s="73"/>
      <c r="S140" s="73"/>
      <c r="T140" s="73"/>
      <c r="U140" s="73"/>
      <c r="V140" s="73"/>
      <c r="W140" s="73"/>
      <c r="X140" s="73"/>
      <c r="Y140" s="73"/>
      <c r="Z140" s="73"/>
    </row>
    <row r="141" spans="1:26" ht="18" customHeight="1" x14ac:dyDescent="0.2">
      <c r="A141" s="73"/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</row>
    <row r="142" spans="1:26" ht="18" customHeight="1" x14ac:dyDescent="0.2">
      <c r="A142" s="73"/>
      <c r="B142" s="73"/>
      <c r="C142" s="73"/>
      <c r="D142" s="73"/>
      <c r="E142" s="73"/>
      <c r="F142" s="73"/>
      <c r="G142" s="73"/>
      <c r="H142" s="73"/>
      <c r="I142" s="73"/>
      <c r="J142" s="73"/>
      <c r="K142" s="73"/>
      <c r="L142" s="73"/>
      <c r="M142" s="73"/>
      <c r="N142" s="73"/>
      <c r="O142" s="73"/>
      <c r="P142" s="73"/>
      <c r="Q142" s="73"/>
      <c r="R142" s="73"/>
      <c r="S142" s="73"/>
      <c r="T142" s="73"/>
      <c r="U142" s="73"/>
      <c r="V142" s="73"/>
      <c r="W142" s="73"/>
      <c r="X142" s="73"/>
      <c r="Y142" s="73"/>
      <c r="Z142" s="73"/>
    </row>
    <row r="143" spans="1:26" ht="18" customHeight="1" x14ac:dyDescent="0.2">
      <c r="A143" s="73"/>
      <c r="B143" s="73"/>
      <c r="C143" s="73"/>
      <c r="D143" s="73"/>
      <c r="E143" s="73"/>
      <c r="F143" s="73"/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</row>
    <row r="144" spans="1:26" ht="18" customHeight="1" x14ac:dyDescent="0.2">
      <c r="A144" s="73"/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3"/>
      <c r="S144" s="73"/>
      <c r="T144" s="73"/>
      <c r="U144" s="73"/>
      <c r="V144" s="73"/>
      <c r="W144" s="73"/>
      <c r="X144" s="73"/>
      <c r="Y144" s="73"/>
      <c r="Z144" s="73"/>
    </row>
    <row r="145" spans="1:26" ht="18" customHeight="1" x14ac:dyDescent="0.2">
      <c r="A145" s="73"/>
      <c r="B145" s="73"/>
      <c r="C145" s="73"/>
      <c r="D145" s="73"/>
      <c r="E145" s="73"/>
      <c r="F145" s="73"/>
      <c r="G145" s="73"/>
      <c r="H145" s="73"/>
      <c r="I145" s="73"/>
      <c r="J145" s="73"/>
      <c r="K145" s="73"/>
      <c r="L145" s="73"/>
      <c r="M145" s="73"/>
      <c r="N145" s="73"/>
      <c r="O145" s="73"/>
      <c r="P145" s="73"/>
      <c r="Q145" s="73"/>
      <c r="R145" s="73"/>
      <c r="S145" s="73"/>
      <c r="T145" s="73"/>
      <c r="U145" s="73"/>
      <c r="V145" s="73"/>
      <c r="W145" s="73"/>
      <c r="X145" s="73"/>
      <c r="Y145" s="73"/>
      <c r="Z145" s="73"/>
    </row>
    <row r="146" spans="1:26" ht="18" customHeight="1" x14ac:dyDescent="0.2">
      <c r="A146" s="73"/>
      <c r="B146" s="73"/>
      <c r="C146" s="73"/>
      <c r="D146" s="73"/>
      <c r="E146" s="73"/>
      <c r="F146" s="73"/>
      <c r="G146" s="73"/>
      <c r="H146" s="73"/>
      <c r="I146" s="73"/>
      <c r="J146" s="73"/>
      <c r="K146" s="73"/>
      <c r="L146" s="73"/>
      <c r="M146" s="73"/>
      <c r="N146" s="73"/>
      <c r="O146" s="73"/>
      <c r="P146" s="73"/>
      <c r="Q146" s="73"/>
      <c r="R146" s="73"/>
      <c r="S146" s="73"/>
      <c r="T146" s="73"/>
      <c r="U146" s="73"/>
      <c r="V146" s="73"/>
      <c r="W146" s="73"/>
      <c r="X146" s="73"/>
      <c r="Y146" s="73"/>
      <c r="Z146" s="73"/>
    </row>
    <row r="147" spans="1:26" ht="18" customHeight="1" x14ac:dyDescent="0.2">
      <c r="A147" s="73"/>
      <c r="B147" s="73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73"/>
      <c r="T147" s="73"/>
      <c r="U147" s="73"/>
      <c r="V147" s="73"/>
      <c r="W147" s="73"/>
      <c r="X147" s="73"/>
      <c r="Y147" s="73"/>
      <c r="Z147" s="73"/>
    </row>
    <row r="148" spans="1:26" ht="18" customHeight="1" x14ac:dyDescent="0.2">
      <c r="A148" s="73"/>
      <c r="B148" s="73"/>
      <c r="C148" s="73"/>
      <c r="D148" s="73"/>
      <c r="E148" s="73"/>
      <c r="F148" s="73"/>
      <c r="G148" s="73"/>
      <c r="H148" s="73"/>
      <c r="I148" s="73"/>
      <c r="J148" s="73"/>
      <c r="K148" s="73"/>
      <c r="L148" s="73"/>
      <c r="M148" s="73"/>
      <c r="N148" s="73"/>
      <c r="O148" s="73"/>
      <c r="P148" s="73"/>
      <c r="Q148" s="73"/>
      <c r="R148" s="73"/>
      <c r="S148" s="73"/>
      <c r="T148" s="73"/>
      <c r="U148" s="73"/>
      <c r="V148" s="73"/>
      <c r="W148" s="73"/>
      <c r="X148" s="73"/>
      <c r="Y148" s="73"/>
      <c r="Z148" s="73"/>
    </row>
    <row r="149" spans="1:26" ht="18" customHeight="1" x14ac:dyDescent="0.2">
      <c r="A149" s="73"/>
      <c r="B149" s="73"/>
      <c r="C149" s="73"/>
      <c r="D149" s="73"/>
      <c r="E149" s="73"/>
      <c r="F149" s="73"/>
      <c r="G149" s="73"/>
      <c r="H149" s="73"/>
      <c r="I149" s="73"/>
      <c r="J149" s="73"/>
      <c r="K149" s="73"/>
      <c r="L149" s="73"/>
      <c r="M149" s="73"/>
      <c r="N149" s="73"/>
      <c r="O149" s="73"/>
      <c r="P149" s="73"/>
      <c r="Q149" s="73"/>
      <c r="R149" s="73"/>
      <c r="S149" s="73"/>
      <c r="T149" s="73"/>
      <c r="U149" s="73"/>
      <c r="V149" s="73"/>
      <c r="W149" s="73"/>
      <c r="X149" s="73"/>
      <c r="Y149" s="73"/>
      <c r="Z149" s="73"/>
    </row>
    <row r="150" spans="1:26" ht="18" customHeight="1" x14ac:dyDescent="0.2">
      <c r="A150" s="73"/>
      <c r="B150" s="73"/>
      <c r="C150" s="73"/>
      <c r="D150" s="73"/>
      <c r="E150" s="73"/>
      <c r="F150" s="73"/>
      <c r="G150" s="73"/>
      <c r="H150" s="73"/>
      <c r="I150" s="73"/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3"/>
      <c r="U150" s="73"/>
      <c r="V150" s="73"/>
      <c r="W150" s="73"/>
      <c r="X150" s="73"/>
      <c r="Y150" s="73"/>
      <c r="Z150" s="73"/>
    </row>
    <row r="151" spans="1:26" ht="18" customHeight="1" x14ac:dyDescent="0.2">
      <c r="A151" s="73"/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3"/>
      <c r="S151" s="73"/>
      <c r="T151" s="73"/>
      <c r="U151" s="73"/>
      <c r="V151" s="73"/>
      <c r="W151" s="73"/>
      <c r="X151" s="73"/>
      <c r="Y151" s="73"/>
      <c r="Z151" s="73"/>
    </row>
    <row r="152" spans="1:26" ht="18" customHeight="1" x14ac:dyDescent="0.2">
      <c r="A152" s="73"/>
      <c r="B152" s="73"/>
      <c r="C152" s="73"/>
      <c r="D152" s="73"/>
      <c r="E152" s="73"/>
      <c r="F152" s="73"/>
      <c r="G152" s="73"/>
      <c r="H152" s="73"/>
      <c r="I152" s="73"/>
      <c r="J152" s="73"/>
      <c r="K152" s="73"/>
      <c r="L152" s="73"/>
      <c r="M152" s="73"/>
      <c r="N152" s="73"/>
      <c r="O152" s="73"/>
      <c r="P152" s="73"/>
      <c r="Q152" s="73"/>
      <c r="R152" s="73"/>
      <c r="S152" s="73"/>
      <c r="T152" s="73"/>
      <c r="U152" s="73"/>
      <c r="V152" s="73"/>
      <c r="W152" s="73"/>
      <c r="X152" s="73"/>
      <c r="Y152" s="73"/>
      <c r="Z152" s="73"/>
    </row>
    <row r="153" spans="1:26" ht="18" customHeight="1" x14ac:dyDescent="0.2">
      <c r="A153" s="73"/>
      <c r="B153" s="73"/>
      <c r="C153" s="73"/>
      <c r="D153" s="73"/>
      <c r="E153" s="73"/>
      <c r="F153" s="73"/>
      <c r="G153" s="73"/>
      <c r="H153" s="73"/>
      <c r="I153" s="73"/>
      <c r="J153" s="73"/>
      <c r="K153" s="73"/>
      <c r="L153" s="73"/>
      <c r="M153" s="73"/>
      <c r="N153" s="73"/>
      <c r="O153" s="73"/>
      <c r="P153" s="73"/>
      <c r="Q153" s="73"/>
      <c r="R153" s="73"/>
      <c r="S153" s="73"/>
      <c r="T153" s="73"/>
      <c r="U153" s="73"/>
      <c r="V153" s="73"/>
      <c r="W153" s="73"/>
      <c r="X153" s="73"/>
      <c r="Y153" s="73"/>
      <c r="Z153" s="73"/>
    </row>
    <row r="154" spans="1:26" ht="18" customHeight="1" x14ac:dyDescent="0.2">
      <c r="A154" s="73"/>
      <c r="B154" s="73"/>
      <c r="C154" s="73"/>
      <c r="D154" s="73"/>
      <c r="E154" s="73"/>
      <c r="F154" s="73"/>
      <c r="G154" s="73"/>
      <c r="H154" s="73"/>
      <c r="I154" s="73"/>
      <c r="J154" s="73"/>
      <c r="K154" s="73"/>
      <c r="L154" s="73"/>
      <c r="M154" s="73"/>
      <c r="N154" s="73"/>
      <c r="O154" s="73"/>
      <c r="P154" s="73"/>
      <c r="Q154" s="73"/>
      <c r="R154" s="73"/>
      <c r="S154" s="73"/>
      <c r="T154" s="73"/>
      <c r="U154" s="73"/>
      <c r="V154" s="73"/>
      <c r="W154" s="73"/>
      <c r="X154" s="73"/>
      <c r="Y154" s="73"/>
      <c r="Z154" s="73"/>
    </row>
    <row r="155" spans="1:26" ht="18" customHeight="1" x14ac:dyDescent="0.2">
      <c r="A155" s="73"/>
      <c r="B155" s="73"/>
      <c r="C155" s="73"/>
      <c r="D155" s="73"/>
      <c r="E155" s="73"/>
      <c r="F155" s="73"/>
      <c r="G155" s="73"/>
      <c r="H155" s="73"/>
      <c r="I155" s="73"/>
      <c r="J155" s="73"/>
      <c r="K155" s="73"/>
      <c r="L155" s="73"/>
      <c r="M155" s="73"/>
      <c r="N155" s="73"/>
      <c r="O155" s="73"/>
      <c r="P155" s="73"/>
      <c r="Q155" s="73"/>
      <c r="R155" s="73"/>
      <c r="S155" s="73"/>
      <c r="T155" s="73"/>
      <c r="U155" s="73"/>
      <c r="V155" s="73"/>
      <c r="W155" s="73"/>
      <c r="X155" s="73"/>
      <c r="Y155" s="73"/>
      <c r="Z155" s="73"/>
    </row>
    <row r="156" spans="1:26" ht="18" customHeight="1" x14ac:dyDescent="0.2">
      <c r="A156" s="73"/>
      <c r="B156" s="73"/>
      <c r="C156" s="73"/>
      <c r="D156" s="73"/>
      <c r="E156" s="73"/>
      <c r="F156" s="73"/>
      <c r="G156" s="73"/>
      <c r="H156" s="73"/>
      <c r="I156" s="73"/>
      <c r="J156" s="73"/>
      <c r="K156" s="73"/>
      <c r="L156" s="73"/>
      <c r="M156" s="73"/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</row>
    <row r="157" spans="1:26" ht="18" customHeight="1" x14ac:dyDescent="0.2">
      <c r="A157" s="73"/>
      <c r="B157" s="73"/>
      <c r="C157" s="73"/>
      <c r="D157" s="73"/>
      <c r="E157" s="73"/>
      <c r="F157" s="73"/>
      <c r="G157" s="73"/>
      <c r="H157" s="73"/>
      <c r="I157" s="73"/>
      <c r="J157" s="73"/>
      <c r="K157" s="73"/>
      <c r="L157" s="73"/>
      <c r="M157" s="73"/>
      <c r="N157" s="73"/>
      <c r="O157" s="73"/>
      <c r="P157" s="73"/>
      <c r="Q157" s="73"/>
      <c r="R157" s="73"/>
      <c r="S157" s="73"/>
      <c r="T157" s="73"/>
      <c r="U157" s="73"/>
      <c r="V157" s="73"/>
      <c r="W157" s="73"/>
      <c r="X157" s="73"/>
      <c r="Y157" s="73"/>
      <c r="Z157" s="73"/>
    </row>
    <row r="158" spans="1:26" ht="18" customHeight="1" x14ac:dyDescent="0.2">
      <c r="A158" s="73"/>
      <c r="B158" s="73"/>
      <c r="C158" s="73"/>
      <c r="D158" s="73"/>
      <c r="E158" s="73"/>
      <c r="F158" s="73"/>
      <c r="G158" s="73"/>
      <c r="H158" s="73"/>
      <c r="I158" s="73"/>
      <c r="J158" s="73"/>
      <c r="K158" s="73"/>
      <c r="L158" s="73"/>
      <c r="M158" s="73"/>
      <c r="N158" s="73"/>
      <c r="O158" s="73"/>
      <c r="P158" s="73"/>
      <c r="Q158" s="73"/>
      <c r="R158" s="73"/>
      <c r="S158" s="73"/>
      <c r="T158" s="73"/>
      <c r="U158" s="73"/>
      <c r="V158" s="73"/>
      <c r="W158" s="73"/>
      <c r="X158" s="73"/>
      <c r="Y158" s="73"/>
      <c r="Z158" s="73"/>
    </row>
    <row r="159" spans="1:26" ht="18" customHeight="1" x14ac:dyDescent="0.2">
      <c r="A159" s="73"/>
      <c r="B159" s="73"/>
      <c r="C159" s="73"/>
      <c r="D159" s="73"/>
      <c r="E159" s="73"/>
      <c r="F159" s="73"/>
      <c r="G159" s="73"/>
      <c r="H159" s="73"/>
      <c r="I159" s="73"/>
      <c r="J159" s="73"/>
      <c r="K159" s="73"/>
      <c r="L159" s="73"/>
      <c r="M159" s="73"/>
      <c r="N159" s="73"/>
      <c r="O159" s="73"/>
      <c r="P159" s="73"/>
      <c r="Q159" s="73"/>
      <c r="R159" s="73"/>
      <c r="S159" s="73"/>
      <c r="T159" s="73"/>
      <c r="U159" s="73"/>
      <c r="V159" s="73"/>
      <c r="W159" s="73"/>
      <c r="X159" s="73"/>
      <c r="Y159" s="73"/>
      <c r="Z159" s="73"/>
    </row>
    <row r="160" spans="1:26" ht="18" customHeight="1" x14ac:dyDescent="0.2">
      <c r="A160" s="73"/>
      <c r="B160" s="73"/>
      <c r="C160" s="73"/>
      <c r="D160" s="73"/>
      <c r="E160" s="73"/>
      <c r="F160" s="73"/>
      <c r="G160" s="73"/>
      <c r="H160" s="73"/>
      <c r="I160" s="73"/>
      <c r="J160" s="73"/>
      <c r="K160" s="73"/>
      <c r="L160" s="73"/>
      <c r="M160" s="73"/>
      <c r="N160" s="73"/>
      <c r="O160" s="73"/>
      <c r="P160" s="73"/>
      <c r="Q160" s="73"/>
      <c r="R160" s="73"/>
      <c r="S160" s="73"/>
      <c r="T160" s="73"/>
      <c r="U160" s="73"/>
      <c r="V160" s="73"/>
      <c r="W160" s="73"/>
      <c r="X160" s="73"/>
      <c r="Y160" s="73"/>
      <c r="Z160" s="73"/>
    </row>
    <row r="161" spans="1:26" ht="18" customHeight="1" x14ac:dyDescent="0.2">
      <c r="A161" s="73"/>
      <c r="B161" s="73"/>
      <c r="C161" s="73"/>
      <c r="D161" s="73"/>
      <c r="E161" s="73"/>
      <c r="F161" s="73"/>
      <c r="G161" s="73"/>
      <c r="H161" s="73"/>
      <c r="I161" s="73"/>
      <c r="J161" s="73"/>
      <c r="K161" s="73"/>
      <c r="L161" s="73"/>
      <c r="M161" s="73"/>
      <c r="N161" s="73"/>
      <c r="O161" s="73"/>
      <c r="P161" s="73"/>
      <c r="Q161" s="73"/>
      <c r="R161" s="73"/>
      <c r="S161" s="73"/>
      <c r="T161" s="73"/>
      <c r="U161" s="73"/>
      <c r="V161" s="73"/>
      <c r="W161" s="73"/>
      <c r="X161" s="73"/>
      <c r="Y161" s="73"/>
      <c r="Z161" s="73"/>
    </row>
    <row r="162" spans="1:26" ht="18" customHeight="1" x14ac:dyDescent="0.2">
      <c r="A162" s="73"/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3"/>
      <c r="Q162" s="73"/>
      <c r="R162" s="73"/>
      <c r="S162" s="73"/>
      <c r="T162" s="73"/>
      <c r="U162" s="73"/>
      <c r="V162" s="73"/>
      <c r="W162" s="73"/>
      <c r="X162" s="73"/>
      <c r="Y162" s="73"/>
      <c r="Z162" s="73"/>
    </row>
    <row r="163" spans="1:26" ht="18" customHeight="1" x14ac:dyDescent="0.2">
      <c r="A163" s="73"/>
      <c r="B163" s="73"/>
      <c r="C163" s="73"/>
      <c r="D163" s="73"/>
      <c r="E163" s="73"/>
      <c r="F163" s="73"/>
      <c r="G163" s="73"/>
      <c r="H163" s="73"/>
      <c r="I163" s="73"/>
      <c r="J163" s="73"/>
      <c r="K163" s="73"/>
      <c r="L163" s="73"/>
      <c r="M163" s="73"/>
      <c r="N163" s="73"/>
      <c r="O163" s="73"/>
      <c r="P163" s="73"/>
      <c r="Q163" s="73"/>
      <c r="R163" s="73"/>
      <c r="S163" s="73"/>
      <c r="T163" s="73"/>
      <c r="U163" s="73"/>
      <c r="V163" s="73"/>
      <c r="W163" s="73"/>
      <c r="X163" s="73"/>
      <c r="Y163" s="73"/>
      <c r="Z163" s="73"/>
    </row>
    <row r="164" spans="1:26" ht="18" customHeight="1" x14ac:dyDescent="0.2">
      <c r="A164" s="73"/>
      <c r="B164" s="73"/>
      <c r="C164" s="73"/>
      <c r="D164" s="73"/>
      <c r="E164" s="73"/>
      <c r="F164" s="73"/>
      <c r="G164" s="73"/>
      <c r="H164" s="73"/>
      <c r="I164" s="73"/>
      <c r="J164" s="73"/>
      <c r="K164" s="73"/>
      <c r="L164" s="73"/>
      <c r="M164" s="73"/>
      <c r="N164" s="73"/>
      <c r="O164" s="73"/>
      <c r="P164" s="73"/>
      <c r="Q164" s="73"/>
      <c r="R164" s="73"/>
      <c r="S164" s="73"/>
      <c r="T164" s="73"/>
      <c r="U164" s="73"/>
      <c r="V164" s="73"/>
      <c r="W164" s="73"/>
      <c r="X164" s="73"/>
      <c r="Y164" s="73"/>
      <c r="Z164" s="73"/>
    </row>
    <row r="165" spans="1:26" ht="18" customHeight="1" x14ac:dyDescent="0.2">
      <c r="A165" s="73"/>
      <c r="B165" s="73"/>
      <c r="C165" s="73"/>
      <c r="D165" s="73"/>
      <c r="E165" s="73"/>
      <c r="F165" s="73"/>
      <c r="G165" s="73"/>
      <c r="H165" s="73"/>
      <c r="I165" s="73"/>
      <c r="J165" s="73"/>
      <c r="K165" s="73"/>
      <c r="L165" s="73"/>
      <c r="M165" s="73"/>
      <c r="N165" s="73"/>
      <c r="O165" s="73"/>
      <c r="P165" s="73"/>
      <c r="Q165" s="73"/>
      <c r="R165" s="73"/>
      <c r="S165" s="73"/>
      <c r="T165" s="73"/>
      <c r="U165" s="73"/>
      <c r="V165" s="73"/>
      <c r="W165" s="73"/>
      <c r="X165" s="73"/>
      <c r="Y165" s="73"/>
      <c r="Z165" s="73"/>
    </row>
    <row r="166" spans="1:26" ht="18" customHeight="1" x14ac:dyDescent="0.2">
      <c r="A166" s="73"/>
      <c r="B166" s="73"/>
      <c r="C166" s="73"/>
      <c r="D166" s="73"/>
      <c r="E166" s="73"/>
      <c r="F166" s="73"/>
      <c r="G166" s="73"/>
      <c r="H166" s="73"/>
      <c r="I166" s="73"/>
      <c r="J166" s="73"/>
      <c r="K166" s="73"/>
      <c r="L166" s="73"/>
      <c r="M166" s="73"/>
      <c r="N166" s="73"/>
      <c r="O166" s="73"/>
      <c r="P166" s="73"/>
      <c r="Q166" s="73"/>
      <c r="R166" s="73"/>
      <c r="S166" s="73"/>
      <c r="T166" s="73"/>
      <c r="U166" s="73"/>
      <c r="V166" s="73"/>
      <c r="W166" s="73"/>
      <c r="X166" s="73"/>
      <c r="Y166" s="73"/>
      <c r="Z166" s="73"/>
    </row>
    <row r="167" spans="1:26" ht="18" customHeight="1" x14ac:dyDescent="0.2">
      <c r="A167" s="73"/>
      <c r="B167" s="73"/>
      <c r="C167" s="73"/>
      <c r="D167" s="73"/>
      <c r="E167" s="73"/>
      <c r="F167" s="73"/>
      <c r="G167" s="73"/>
      <c r="H167" s="73"/>
      <c r="I167" s="73"/>
      <c r="J167" s="73"/>
      <c r="K167" s="73"/>
      <c r="L167" s="73"/>
      <c r="M167" s="73"/>
      <c r="N167" s="73"/>
      <c r="O167" s="73"/>
      <c r="P167" s="73"/>
      <c r="Q167" s="73"/>
      <c r="R167" s="73"/>
      <c r="S167" s="73"/>
      <c r="T167" s="73"/>
      <c r="U167" s="73"/>
      <c r="V167" s="73"/>
      <c r="W167" s="73"/>
      <c r="X167" s="73"/>
      <c r="Y167" s="73"/>
      <c r="Z167" s="73"/>
    </row>
    <row r="168" spans="1:26" ht="18" customHeight="1" x14ac:dyDescent="0.2">
      <c r="A168" s="73"/>
      <c r="B168" s="73"/>
      <c r="C168" s="73"/>
      <c r="D168" s="73"/>
      <c r="E168" s="73"/>
      <c r="F168" s="73"/>
      <c r="G168" s="73"/>
      <c r="H168" s="73"/>
      <c r="I168" s="73"/>
      <c r="J168" s="73"/>
      <c r="K168" s="73"/>
      <c r="L168" s="73"/>
      <c r="M168" s="73"/>
      <c r="N168" s="73"/>
      <c r="O168" s="73"/>
      <c r="P168" s="73"/>
      <c r="Q168" s="73"/>
      <c r="R168" s="73"/>
      <c r="S168" s="73"/>
      <c r="T168" s="73"/>
      <c r="U168" s="73"/>
      <c r="V168" s="73"/>
      <c r="W168" s="73"/>
      <c r="X168" s="73"/>
      <c r="Y168" s="73"/>
      <c r="Z168" s="73"/>
    </row>
    <row r="169" spans="1:26" ht="18" customHeight="1" x14ac:dyDescent="0.2">
      <c r="A169" s="73"/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</row>
    <row r="170" spans="1:26" ht="18" customHeight="1" x14ac:dyDescent="0.2">
      <c r="A170" s="73"/>
      <c r="B170" s="73"/>
      <c r="C170" s="73"/>
      <c r="D170" s="73"/>
      <c r="E170" s="73"/>
      <c r="F170" s="73"/>
      <c r="G170" s="73"/>
      <c r="H170" s="73"/>
      <c r="I170" s="73"/>
      <c r="J170" s="73"/>
      <c r="K170" s="73"/>
      <c r="L170" s="73"/>
      <c r="M170" s="73"/>
      <c r="N170" s="73"/>
      <c r="O170" s="73"/>
      <c r="P170" s="73"/>
      <c r="Q170" s="73"/>
      <c r="R170" s="73"/>
      <c r="S170" s="73"/>
      <c r="T170" s="73"/>
      <c r="U170" s="73"/>
      <c r="V170" s="73"/>
      <c r="W170" s="73"/>
      <c r="X170" s="73"/>
      <c r="Y170" s="73"/>
      <c r="Z170" s="73"/>
    </row>
    <row r="171" spans="1:26" ht="18" customHeight="1" x14ac:dyDescent="0.2">
      <c r="A171" s="73"/>
      <c r="B171" s="73"/>
      <c r="C171" s="73"/>
      <c r="D171" s="73"/>
      <c r="E171" s="73"/>
      <c r="F171" s="73"/>
      <c r="G171" s="73"/>
      <c r="H171" s="73"/>
      <c r="I171" s="73"/>
      <c r="J171" s="73"/>
      <c r="K171" s="73"/>
      <c r="L171" s="73"/>
      <c r="M171" s="73"/>
      <c r="N171" s="73"/>
      <c r="O171" s="73"/>
      <c r="P171" s="73"/>
      <c r="Q171" s="73"/>
      <c r="R171" s="73"/>
      <c r="S171" s="73"/>
      <c r="T171" s="73"/>
      <c r="U171" s="73"/>
      <c r="V171" s="73"/>
      <c r="W171" s="73"/>
      <c r="X171" s="73"/>
      <c r="Y171" s="73"/>
      <c r="Z171" s="73"/>
    </row>
    <row r="172" spans="1:26" ht="18" customHeight="1" x14ac:dyDescent="0.2">
      <c r="A172" s="73"/>
      <c r="B172" s="73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73"/>
      <c r="Q172" s="73"/>
      <c r="R172" s="73"/>
      <c r="S172" s="73"/>
      <c r="T172" s="73"/>
      <c r="U172" s="73"/>
      <c r="V172" s="73"/>
      <c r="W172" s="73"/>
      <c r="X172" s="73"/>
      <c r="Y172" s="73"/>
      <c r="Z172" s="73"/>
    </row>
    <row r="173" spans="1:26" ht="18" customHeight="1" x14ac:dyDescent="0.2">
      <c r="A173" s="73"/>
      <c r="B173" s="73"/>
      <c r="C173" s="73"/>
      <c r="D173" s="73"/>
      <c r="E173" s="73"/>
      <c r="F173" s="73"/>
      <c r="G173" s="73"/>
      <c r="H173" s="73"/>
      <c r="I173" s="73"/>
      <c r="J173" s="73"/>
      <c r="K173" s="73"/>
      <c r="L173" s="73"/>
      <c r="M173" s="73"/>
      <c r="N173" s="73"/>
      <c r="O173" s="73"/>
      <c r="P173" s="73"/>
      <c r="Q173" s="73"/>
      <c r="R173" s="73"/>
      <c r="S173" s="73"/>
      <c r="T173" s="73"/>
      <c r="U173" s="73"/>
      <c r="V173" s="73"/>
      <c r="W173" s="73"/>
      <c r="X173" s="73"/>
      <c r="Y173" s="73"/>
      <c r="Z173" s="73"/>
    </row>
    <row r="174" spans="1:26" ht="18" customHeight="1" x14ac:dyDescent="0.2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</row>
    <row r="175" spans="1:26" ht="18" customHeight="1" x14ac:dyDescent="0.2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</row>
    <row r="176" spans="1:26" ht="18" customHeight="1" x14ac:dyDescent="0.2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</row>
    <row r="177" spans="1:26" ht="18" customHeight="1" x14ac:dyDescent="0.2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</row>
    <row r="178" spans="1:26" ht="18" customHeight="1" x14ac:dyDescent="0.2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</row>
    <row r="179" spans="1:26" ht="18" customHeight="1" x14ac:dyDescent="0.2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</row>
    <row r="180" spans="1:26" ht="18" customHeight="1" x14ac:dyDescent="0.2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</row>
    <row r="181" spans="1:26" ht="18" customHeight="1" x14ac:dyDescent="0.2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</row>
    <row r="182" spans="1:26" ht="18" customHeight="1" x14ac:dyDescent="0.2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</row>
    <row r="183" spans="1:26" ht="18" customHeight="1" x14ac:dyDescent="0.2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</row>
    <row r="184" spans="1:26" ht="18" customHeight="1" x14ac:dyDescent="0.2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</row>
    <row r="185" spans="1:26" ht="18" customHeight="1" x14ac:dyDescent="0.2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</row>
    <row r="186" spans="1:26" ht="18" customHeight="1" x14ac:dyDescent="0.2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</row>
    <row r="187" spans="1:26" ht="18" customHeight="1" x14ac:dyDescent="0.2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 spans="1:26" ht="18" customHeight="1" x14ac:dyDescent="0.2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 spans="1:26" ht="18" customHeight="1" x14ac:dyDescent="0.2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 spans="1:26" ht="18" customHeight="1" x14ac:dyDescent="0.2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 spans="1:26" ht="18" customHeight="1" x14ac:dyDescent="0.2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 spans="1:26" ht="18" customHeight="1" x14ac:dyDescent="0.2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 spans="1:26" ht="18" customHeight="1" x14ac:dyDescent="0.2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 spans="1:26" ht="18" customHeight="1" x14ac:dyDescent="0.2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 spans="1:26" ht="18" customHeight="1" x14ac:dyDescent="0.2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 spans="1:26" ht="18" customHeight="1" x14ac:dyDescent="0.2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 spans="1:26" ht="18" customHeight="1" x14ac:dyDescent="0.2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 spans="1:26" ht="18" customHeight="1" x14ac:dyDescent="0.2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 spans="1:26" ht="18" customHeight="1" x14ac:dyDescent="0.2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 spans="1:26" ht="18" customHeight="1" x14ac:dyDescent="0.2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 spans="1:26" ht="18" customHeight="1" x14ac:dyDescent="0.2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 spans="1:26" ht="18" customHeight="1" x14ac:dyDescent="0.2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 spans="1:26" ht="18" customHeight="1" x14ac:dyDescent="0.2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 spans="1:26" ht="18" customHeight="1" x14ac:dyDescent="0.2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 spans="1:26" ht="18" customHeight="1" x14ac:dyDescent="0.2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 spans="1:26" ht="18" customHeight="1" x14ac:dyDescent="0.2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 spans="1:26" ht="18" customHeight="1" x14ac:dyDescent="0.2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 spans="1:26" ht="18" customHeight="1" x14ac:dyDescent="0.2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 spans="1:26" ht="18" customHeight="1" x14ac:dyDescent="0.2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 spans="1:26" ht="18" customHeight="1" x14ac:dyDescent="0.2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 spans="1:26" ht="18" customHeight="1" x14ac:dyDescent="0.2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 spans="1:26" ht="18" customHeight="1" x14ac:dyDescent="0.2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 spans="1:26" ht="18" customHeight="1" x14ac:dyDescent="0.2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 spans="1:26" ht="18" customHeight="1" x14ac:dyDescent="0.2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 spans="1:26" ht="18" customHeight="1" x14ac:dyDescent="0.2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 spans="1:26" ht="18" customHeight="1" x14ac:dyDescent="0.2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 spans="1:26" ht="18" customHeight="1" x14ac:dyDescent="0.2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 spans="1:26" ht="18" customHeight="1" x14ac:dyDescent="0.2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 spans="1:26" ht="18" customHeight="1" x14ac:dyDescent="0.2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 spans="1:26" ht="18" customHeight="1" x14ac:dyDescent="0.2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 spans="1:26" ht="18" customHeight="1" x14ac:dyDescent="0.2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 spans="1:26" ht="18" customHeight="1" x14ac:dyDescent="0.2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 spans="1:26" ht="18" customHeight="1" x14ac:dyDescent="0.2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 spans="1:26" ht="18" customHeight="1" x14ac:dyDescent="0.2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 spans="1:26" ht="18" customHeight="1" x14ac:dyDescent="0.2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 spans="1:26" ht="18" customHeight="1" x14ac:dyDescent="0.2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 spans="1:26" ht="18" customHeight="1" x14ac:dyDescent="0.2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 spans="1:26" ht="18" customHeight="1" x14ac:dyDescent="0.2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 spans="1:26" ht="18" customHeight="1" x14ac:dyDescent="0.2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 spans="1:26" ht="18" customHeight="1" x14ac:dyDescent="0.2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 spans="1:26" ht="18" customHeight="1" x14ac:dyDescent="0.2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 spans="1:26" ht="18" customHeight="1" x14ac:dyDescent="0.2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 spans="1:26" ht="18" customHeight="1" x14ac:dyDescent="0.2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 spans="1:26" ht="18" customHeight="1" x14ac:dyDescent="0.2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 spans="1:26" ht="18" customHeight="1" x14ac:dyDescent="0.2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 spans="1:26" ht="18" customHeight="1" x14ac:dyDescent="0.2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 spans="1:26" ht="18" customHeight="1" x14ac:dyDescent="0.2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 spans="1:26" ht="18" customHeight="1" x14ac:dyDescent="0.2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 spans="1:26" ht="18" customHeight="1" x14ac:dyDescent="0.2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 spans="1:26" ht="18" customHeight="1" x14ac:dyDescent="0.2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 spans="1:26" ht="18" customHeight="1" x14ac:dyDescent="0.2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 spans="1:26" ht="18" customHeight="1" x14ac:dyDescent="0.2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 spans="1:26" ht="18" customHeight="1" x14ac:dyDescent="0.2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 spans="1:26" ht="18" customHeight="1" x14ac:dyDescent="0.2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 spans="1:26" ht="18" customHeight="1" x14ac:dyDescent="0.2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 spans="1:26" ht="18" customHeight="1" x14ac:dyDescent="0.2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 spans="1:26" ht="18" customHeight="1" x14ac:dyDescent="0.2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 spans="1:26" ht="18" customHeight="1" x14ac:dyDescent="0.2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 spans="1:26" ht="18" customHeight="1" x14ac:dyDescent="0.2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 spans="1:26" ht="18" customHeight="1" x14ac:dyDescent="0.2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 spans="1:26" ht="18" customHeight="1" x14ac:dyDescent="0.2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 spans="1:26" ht="18" customHeight="1" x14ac:dyDescent="0.2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 spans="1:26" ht="18" customHeight="1" x14ac:dyDescent="0.2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 spans="1:26" ht="18" customHeight="1" x14ac:dyDescent="0.2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 spans="1:26" ht="18" customHeight="1" x14ac:dyDescent="0.2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 spans="1:26" ht="18" customHeight="1" x14ac:dyDescent="0.2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 spans="1:26" ht="18" customHeight="1" x14ac:dyDescent="0.2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 spans="1:26" ht="18" customHeight="1" x14ac:dyDescent="0.2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 spans="1:26" ht="18" customHeight="1" x14ac:dyDescent="0.2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 spans="1:26" ht="18" customHeight="1" x14ac:dyDescent="0.2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 spans="1:26" ht="18" customHeight="1" x14ac:dyDescent="0.2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 spans="1:26" ht="18" customHeight="1" x14ac:dyDescent="0.2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 spans="1:26" ht="18" customHeight="1" x14ac:dyDescent="0.2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 spans="1:26" ht="18" customHeight="1" x14ac:dyDescent="0.2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 spans="1:26" ht="18" customHeight="1" x14ac:dyDescent="0.2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 spans="1:26" ht="18" customHeight="1" x14ac:dyDescent="0.2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 spans="1:26" ht="18" customHeight="1" x14ac:dyDescent="0.2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 spans="1:26" ht="18" customHeight="1" x14ac:dyDescent="0.2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 spans="1:26" ht="18" customHeight="1" x14ac:dyDescent="0.2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 spans="1:26" ht="18" customHeight="1" x14ac:dyDescent="0.2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 spans="1:26" ht="18" customHeight="1" x14ac:dyDescent="0.2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 spans="1:26" ht="18" customHeight="1" x14ac:dyDescent="0.2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 spans="1:26" ht="18" customHeight="1" x14ac:dyDescent="0.2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 spans="1:26" ht="18" customHeight="1" x14ac:dyDescent="0.2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 spans="1:26" ht="18" customHeight="1" x14ac:dyDescent="0.2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 spans="1:26" ht="18" customHeight="1" x14ac:dyDescent="0.2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 spans="1:26" ht="18" customHeight="1" x14ac:dyDescent="0.2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 spans="1:26" ht="18" customHeight="1" x14ac:dyDescent="0.2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 spans="1:26" ht="18" customHeight="1" x14ac:dyDescent="0.2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 spans="1:26" ht="18" customHeight="1" x14ac:dyDescent="0.2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 spans="1:26" ht="18" customHeight="1" x14ac:dyDescent="0.2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 spans="1:26" ht="18" customHeight="1" x14ac:dyDescent="0.2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 spans="1:26" ht="18" customHeight="1" x14ac:dyDescent="0.2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 spans="1:26" ht="18" customHeight="1" x14ac:dyDescent="0.2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 spans="1:26" ht="18" customHeight="1" x14ac:dyDescent="0.2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 spans="1:26" ht="18" customHeight="1" x14ac:dyDescent="0.2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 spans="1:26" ht="18" customHeight="1" x14ac:dyDescent="0.2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 spans="1:26" ht="18" customHeight="1" x14ac:dyDescent="0.2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 spans="1:26" ht="18" customHeight="1" x14ac:dyDescent="0.2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 spans="1:26" ht="18" customHeight="1" x14ac:dyDescent="0.2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 spans="1:26" ht="18" customHeight="1" x14ac:dyDescent="0.2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 spans="1:26" ht="18" customHeight="1" x14ac:dyDescent="0.2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 spans="1:26" ht="18" customHeight="1" x14ac:dyDescent="0.2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 spans="1:26" ht="18" customHeight="1" x14ac:dyDescent="0.2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 spans="1:26" ht="18" customHeight="1" x14ac:dyDescent="0.2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 spans="1:26" ht="18" customHeight="1" x14ac:dyDescent="0.2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 spans="1:26" ht="18" customHeight="1" x14ac:dyDescent="0.2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 spans="1:26" ht="18" customHeight="1" x14ac:dyDescent="0.2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 spans="1:26" ht="18" customHeight="1" x14ac:dyDescent="0.2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 spans="1:26" ht="18" customHeight="1" x14ac:dyDescent="0.2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 spans="1:26" ht="18" customHeight="1" x14ac:dyDescent="0.2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 spans="1:26" ht="18" customHeight="1" x14ac:dyDescent="0.2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 spans="1:26" ht="18" customHeight="1" x14ac:dyDescent="0.2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 spans="1:26" ht="18" customHeight="1" x14ac:dyDescent="0.2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 spans="1:26" ht="18" customHeight="1" x14ac:dyDescent="0.2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 spans="1:26" ht="18" customHeight="1" x14ac:dyDescent="0.2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 spans="1:26" ht="18" customHeight="1" x14ac:dyDescent="0.2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 spans="1:26" ht="18" customHeight="1" x14ac:dyDescent="0.2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 spans="1:26" ht="18" customHeight="1" x14ac:dyDescent="0.2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 spans="1:26" ht="18" customHeight="1" x14ac:dyDescent="0.2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 spans="1:26" ht="18" customHeight="1" x14ac:dyDescent="0.2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 spans="1:26" ht="18" customHeight="1" x14ac:dyDescent="0.2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 spans="1:26" ht="18" customHeight="1" x14ac:dyDescent="0.2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 spans="1:26" ht="18" customHeight="1" x14ac:dyDescent="0.2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 spans="1:26" ht="18" customHeight="1" x14ac:dyDescent="0.2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 spans="1:26" ht="18" customHeight="1" x14ac:dyDescent="0.2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 spans="1:26" ht="18" customHeight="1" x14ac:dyDescent="0.2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 spans="1:26" ht="18" customHeight="1" x14ac:dyDescent="0.2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 spans="1:26" ht="18" customHeight="1" x14ac:dyDescent="0.2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 spans="1:26" ht="18" customHeight="1" x14ac:dyDescent="0.2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 spans="1:26" ht="18" customHeight="1" x14ac:dyDescent="0.2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 spans="1:26" ht="18" customHeight="1" x14ac:dyDescent="0.2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 spans="1:26" ht="18" customHeight="1" x14ac:dyDescent="0.2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 spans="1:26" ht="18" customHeight="1" x14ac:dyDescent="0.2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 spans="1:26" ht="18" customHeight="1" x14ac:dyDescent="0.2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 spans="1:26" ht="18" customHeight="1" x14ac:dyDescent="0.2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 spans="1:26" ht="18" customHeight="1" x14ac:dyDescent="0.2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 spans="1:26" ht="18" customHeight="1" x14ac:dyDescent="0.2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 spans="1:26" ht="18" customHeight="1" x14ac:dyDescent="0.2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 spans="1:26" ht="18" customHeight="1" x14ac:dyDescent="0.2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 spans="1:26" ht="18" customHeight="1" x14ac:dyDescent="0.2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 spans="1:26" ht="18" customHeight="1" x14ac:dyDescent="0.2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 spans="1:26" ht="18" customHeight="1" x14ac:dyDescent="0.2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 spans="1:26" ht="18" customHeight="1" x14ac:dyDescent="0.2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 spans="1:26" ht="18" customHeight="1" x14ac:dyDescent="0.2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 spans="1:26" ht="18" customHeight="1" x14ac:dyDescent="0.2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 spans="1:26" ht="18" customHeight="1" x14ac:dyDescent="0.2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 spans="1:26" ht="18" customHeight="1" x14ac:dyDescent="0.2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 spans="1:26" ht="18" customHeight="1" x14ac:dyDescent="0.2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 spans="1:26" ht="18" customHeight="1" x14ac:dyDescent="0.2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 spans="1:26" ht="18" customHeight="1" x14ac:dyDescent="0.2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 spans="1:26" ht="18" customHeight="1" x14ac:dyDescent="0.2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 spans="1:26" ht="18" customHeight="1" x14ac:dyDescent="0.2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 spans="1:26" ht="18" customHeight="1" x14ac:dyDescent="0.2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 spans="1:26" ht="18" customHeight="1" x14ac:dyDescent="0.2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 spans="1:26" ht="18" customHeight="1" x14ac:dyDescent="0.2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 spans="1:26" ht="18" customHeight="1" x14ac:dyDescent="0.2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 spans="1:26" ht="18" customHeight="1" x14ac:dyDescent="0.2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 spans="1:26" ht="18" customHeight="1" x14ac:dyDescent="0.2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 spans="1:26" ht="18" customHeight="1" x14ac:dyDescent="0.2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 spans="1:26" ht="18" customHeight="1" x14ac:dyDescent="0.2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 spans="1:26" ht="18" customHeight="1" x14ac:dyDescent="0.2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 spans="1:26" ht="18" customHeight="1" x14ac:dyDescent="0.2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 spans="1:26" ht="18" customHeight="1" x14ac:dyDescent="0.2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 spans="1:26" ht="18" customHeight="1" x14ac:dyDescent="0.2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 spans="1:26" ht="18" customHeight="1" x14ac:dyDescent="0.2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 spans="1:26" ht="18" customHeight="1" x14ac:dyDescent="0.2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 spans="1:26" ht="18" customHeight="1" x14ac:dyDescent="0.2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 spans="1:26" ht="18" customHeight="1" x14ac:dyDescent="0.2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 spans="1:26" ht="18" customHeight="1" x14ac:dyDescent="0.2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 spans="1:26" ht="18" customHeight="1" x14ac:dyDescent="0.2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 spans="1:26" ht="18" customHeight="1" x14ac:dyDescent="0.2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 spans="1:26" ht="18" customHeight="1" x14ac:dyDescent="0.2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 spans="1:26" ht="18" customHeight="1" x14ac:dyDescent="0.2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 spans="1:26" ht="18" customHeight="1" x14ac:dyDescent="0.2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 spans="1:26" ht="18" customHeight="1" x14ac:dyDescent="0.2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 spans="1:26" ht="18" customHeight="1" x14ac:dyDescent="0.2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 spans="1:26" ht="18" customHeight="1" x14ac:dyDescent="0.2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 spans="1:26" ht="18" customHeight="1" x14ac:dyDescent="0.2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 spans="1:26" ht="18" customHeight="1" x14ac:dyDescent="0.2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 spans="1:26" ht="18" customHeight="1" x14ac:dyDescent="0.2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 spans="1:26" ht="18" customHeight="1" x14ac:dyDescent="0.2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 spans="1:26" ht="18" customHeight="1" x14ac:dyDescent="0.2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 spans="1:26" ht="18" customHeight="1" x14ac:dyDescent="0.2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 spans="1:26" ht="18" customHeight="1" x14ac:dyDescent="0.2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 spans="1:26" ht="18" customHeight="1" x14ac:dyDescent="0.2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 spans="1:26" ht="18" customHeight="1" x14ac:dyDescent="0.2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 spans="1:26" ht="18" customHeight="1" x14ac:dyDescent="0.2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 spans="1:26" ht="18" customHeight="1" x14ac:dyDescent="0.2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 spans="1:26" ht="18" customHeight="1" x14ac:dyDescent="0.2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 spans="1:26" ht="18" customHeight="1" x14ac:dyDescent="0.2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 spans="1:26" ht="18" customHeight="1" x14ac:dyDescent="0.2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 spans="1:26" ht="18" customHeight="1" x14ac:dyDescent="0.2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 spans="1:26" ht="18" customHeight="1" x14ac:dyDescent="0.2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 spans="1:26" ht="18" customHeight="1" x14ac:dyDescent="0.2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 spans="1:26" ht="18" customHeight="1" x14ac:dyDescent="0.2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 spans="1:26" ht="18" customHeight="1" x14ac:dyDescent="0.2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 spans="1:26" ht="18" customHeight="1" x14ac:dyDescent="0.2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 spans="1:26" ht="18" customHeight="1" x14ac:dyDescent="0.2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 spans="1:26" ht="18" customHeight="1" x14ac:dyDescent="0.2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 spans="1:26" ht="18" customHeight="1" x14ac:dyDescent="0.2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 spans="1:26" ht="18" customHeight="1" x14ac:dyDescent="0.2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 spans="1:26" ht="18" customHeight="1" x14ac:dyDescent="0.2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 spans="1:26" ht="18" customHeight="1" x14ac:dyDescent="0.2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 spans="1:26" ht="18" customHeight="1" x14ac:dyDescent="0.2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 spans="1:26" ht="18" customHeight="1" x14ac:dyDescent="0.2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 spans="1:26" ht="18" customHeight="1" x14ac:dyDescent="0.2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 spans="1:26" ht="18" customHeight="1" x14ac:dyDescent="0.2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 spans="1:26" ht="18" customHeight="1" x14ac:dyDescent="0.2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 spans="1:26" ht="18" customHeight="1" x14ac:dyDescent="0.2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 spans="1:26" ht="18" customHeight="1" x14ac:dyDescent="0.2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 spans="1:26" ht="18" customHeight="1" x14ac:dyDescent="0.2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 spans="1:26" ht="18" customHeight="1" x14ac:dyDescent="0.2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 spans="1:26" ht="18" customHeight="1" x14ac:dyDescent="0.2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 spans="1:26" ht="18" customHeight="1" x14ac:dyDescent="0.2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 spans="1:26" ht="18" customHeight="1" x14ac:dyDescent="0.2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 spans="1:26" ht="18" customHeight="1" x14ac:dyDescent="0.2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 spans="1:26" ht="18" customHeight="1" x14ac:dyDescent="0.2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 spans="1:26" ht="18" customHeight="1" x14ac:dyDescent="0.2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 spans="1:26" ht="18" customHeight="1" x14ac:dyDescent="0.2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 spans="1:26" ht="18" customHeight="1" x14ac:dyDescent="0.2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 spans="1:26" ht="18" customHeight="1" x14ac:dyDescent="0.2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 spans="1:26" ht="18" customHeight="1" x14ac:dyDescent="0.2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 spans="1:26" ht="18" customHeight="1" x14ac:dyDescent="0.2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 spans="1:26" ht="18" customHeight="1" x14ac:dyDescent="0.2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 spans="1:26" ht="18" customHeight="1" x14ac:dyDescent="0.2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 spans="1:26" ht="18" customHeight="1" x14ac:dyDescent="0.2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 spans="1:26" ht="18" customHeight="1" x14ac:dyDescent="0.2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 spans="1:26" ht="18" customHeight="1" x14ac:dyDescent="0.2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 spans="1:26" ht="18" customHeight="1" x14ac:dyDescent="0.2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 spans="1:26" ht="18" customHeight="1" x14ac:dyDescent="0.2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 spans="1:26" ht="18" customHeight="1" x14ac:dyDescent="0.2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 spans="1:26" ht="18" customHeight="1" x14ac:dyDescent="0.2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 spans="1:26" ht="18" customHeight="1" x14ac:dyDescent="0.2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 spans="1:26" ht="18" customHeight="1" x14ac:dyDescent="0.2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 spans="1:26" ht="18" customHeight="1" x14ac:dyDescent="0.2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 spans="1:26" ht="18" customHeight="1" x14ac:dyDescent="0.2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 spans="1:26" ht="18" customHeight="1" x14ac:dyDescent="0.2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 spans="1:26" ht="18" customHeight="1" x14ac:dyDescent="0.2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 spans="1:26" ht="18" customHeight="1" x14ac:dyDescent="0.2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 spans="1:26" ht="18" customHeight="1" x14ac:dyDescent="0.2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 spans="1:26" ht="18" customHeight="1" x14ac:dyDescent="0.2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 spans="1:26" ht="18" customHeight="1" x14ac:dyDescent="0.2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 spans="1:26" ht="18" customHeight="1" x14ac:dyDescent="0.2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 spans="1:26" ht="18" customHeight="1" x14ac:dyDescent="0.2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 spans="1:26" ht="18" customHeight="1" x14ac:dyDescent="0.2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 spans="1:26" ht="18" customHeight="1" x14ac:dyDescent="0.2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 spans="1:26" ht="18" customHeight="1" x14ac:dyDescent="0.2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 spans="1:26" ht="18" customHeight="1" x14ac:dyDescent="0.2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 spans="1:26" ht="18" customHeight="1" x14ac:dyDescent="0.2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 spans="1:26" ht="18" customHeight="1" x14ac:dyDescent="0.2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 spans="1:26" ht="18" customHeight="1" x14ac:dyDescent="0.2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 spans="1:26" ht="18" customHeight="1" x14ac:dyDescent="0.2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 spans="1:26" ht="18" customHeight="1" x14ac:dyDescent="0.2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 spans="1:26" ht="18" customHeight="1" x14ac:dyDescent="0.2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 spans="1:26" ht="18" customHeight="1" x14ac:dyDescent="0.2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 spans="1:26" ht="18" customHeight="1" x14ac:dyDescent="0.2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 spans="1:26" ht="18" customHeight="1" x14ac:dyDescent="0.2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 spans="1:26" ht="18" customHeight="1" x14ac:dyDescent="0.2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 spans="1:26" ht="18" customHeight="1" x14ac:dyDescent="0.2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 spans="1:26" ht="18" customHeight="1" x14ac:dyDescent="0.2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 spans="1:26" ht="18" customHeight="1" x14ac:dyDescent="0.2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 spans="1:26" ht="18" customHeight="1" x14ac:dyDescent="0.2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 spans="1:26" ht="18" customHeight="1" x14ac:dyDescent="0.2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 spans="1:26" ht="18" customHeight="1" x14ac:dyDescent="0.2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 spans="1:26" ht="18" customHeight="1" x14ac:dyDescent="0.2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 spans="1:26" ht="18" customHeight="1" x14ac:dyDescent="0.2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 spans="1:26" ht="18" customHeight="1" x14ac:dyDescent="0.2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 spans="1:26" ht="18" customHeight="1" x14ac:dyDescent="0.2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 spans="1:26" ht="18" customHeight="1" x14ac:dyDescent="0.2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 spans="1:26" ht="18" customHeight="1" x14ac:dyDescent="0.2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 spans="1:26" ht="18" customHeight="1" x14ac:dyDescent="0.2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 spans="1:26" ht="18" customHeight="1" x14ac:dyDescent="0.2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 spans="1:26" ht="18" customHeight="1" x14ac:dyDescent="0.2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 spans="1:26" ht="18" customHeight="1" x14ac:dyDescent="0.2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 spans="1:26" ht="18" customHeight="1" x14ac:dyDescent="0.2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 spans="1:26" ht="18" customHeight="1" x14ac:dyDescent="0.2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 spans="1:26" ht="18" customHeight="1" x14ac:dyDescent="0.2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 spans="1:26" ht="18" customHeight="1" x14ac:dyDescent="0.2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 spans="1:26" ht="18" customHeight="1" x14ac:dyDescent="0.2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 spans="1:26" ht="18" customHeight="1" x14ac:dyDescent="0.2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 spans="1:26" ht="18" customHeight="1" x14ac:dyDescent="0.2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 spans="1:26" ht="18" customHeight="1" x14ac:dyDescent="0.2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 spans="1:26" ht="18" customHeight="1" x14ac:dyDescent="0.2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 spans="1:26" ht="18" customHeight="1" x14ac:dyDescent="0.2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 spans="1:26" ht="18" customHeight="1" x14ac:dyDescent="0.2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 spans="1:26" ht="18" customHeight="1" x14ac:dyDescent="0.2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 spans="1:26" ht="18" customHeight="1" x14ac:dyDescent="0.2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 spans="1:26" ht="18" customHeight="1" x14ac:dyDescent="0.2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 spans="1:26" ht="18" customHeight="1" x14ac:dyDescent="0.2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 spans="1:26" ht="18" customHeight="1" x14ac:dyDescent="0.2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 spans="1:26" ht="18" customHeight="1" x14ac:dyDescent="0.2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 spans="1:26" ht="18" customHeight="1" x14ac:dyDescent="0.2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 spans="1:26" ht="18" customHeight="1" x14ac:dyDescent="0.2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 spans="1:26" ht="18" customHeight="1" x14ac:dyDescent="0.2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 spans="1:26" ht="18" customHeight="1" x14ac:dyDescent="0.2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 spans="1:26" ht="18" customHeight="1" x14ac:dyDescent="0.2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 spans="1:26" ht="18" customHeight="1" x14ac:dyDescent="0.2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 spans="1:26" ht="18" customHeight="1" x14ac:dyDescent="0.2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 spans="1:26" ht="18" customHeight="1" x14ac:dyDescent="0.2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 spans="1:26" ht="18" customHeight="1" x14ac:dyDescent="0.2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 spans="1:26" ht="18" customHeight="1" x14ac:dyDescent="0.2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 spans="1:26" ht="18" customHeight="1" x14ac:dyDescent="0.2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 spans="1:26" ht="18" customHeight="1" x14ac:dyDescent="0.2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 spans="1:26" ht="18" customHeight="1" x14ac:dyDescent="0.2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 spans="1:26" ht="18" customHeight="1" x14ac:dyDescent="0.2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 spans="1:26" ht="18" customHeight="1" x14ac:dyDescent="0.2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 spans="1:26" ht="18" customHeight="1" x14ac:dyDescent="0.2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 spans="1:26" ht="18" customHeight="1" x14ac:dyDescent="0.2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 spans="1:26" ht="18" customHeight="1" x14ac:dyDescent="0.2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 spans="1:26" ht="18" customHeight="1" x14ac:dyDescent="0.2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 spans="1:26" ht="18" customHeight="1" x14ac:dyDescent="0.2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 spans="1:26" ht="18" customHeight="1" x14ac:dyDescent="0.2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 spans="1:26" ht="18" customHeight="1" x14ac:dyDescent="0.2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 spans="1:26" ht="18" customHeight="1" x14ac:dyDescent="0.2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 spans="1:26" ht="18" customHeight="1" x14ac:dyDescent="0.2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 spans="1:26" ht="18" customHeight="1" x14ac:dyDescent="0.2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 spans="1:26" ht="18" customHeight="1" x14ac:dyDescent="0.2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 spans="1:26" ht="18" customHeight="1" x14ac:dyDescent="0.2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 spans="1:26" ht="18" customHeight="1" x14ac:dyDescent="0.2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 spans="1:26" ht="18" customHeight="1" x14ac:dyDescent="0.2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 spans="1:26" ht="18" customHeight="1" x14ac:dyDescent="0.2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 spans="1:26" ht="18" customHeight="1" x14ac:dyDescent="0.2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 spans="1:26" ht="18" customHeight="1" x14ac:dyDescent="0.2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 spans="1:26" ht="18" customHeight="1" x14ac:dyDescent="0.2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 spans="1:26" ht="18" customHeight="1" x14ac:dyDescent="0.2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 spans="1:26" ht="18" customHeight="1" x14ac:dyDescent="0.2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 spans="1:26" ht="18" customHeight="1" x14ac:dyDescent="0.2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 spans="1:26" ht="18" customHeight="1" x14ac:dyDescent="0.2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 spans="1:26" ht="18" customHeight="1" x14ac:dyDescent="0.2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 spans="1:26" ht="18" customHeight="1" x14ac:dyDescent="0.2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 spans="1:26" ht="18" customHeight="1" x14ac:dyDescent="0.2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 spans="1:26" ht="18" customHeight="1" x14ac:dyDescent="0.2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 spans="1:26" ht="18" customHeight="1" x14ac:dyDescent="0.2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 spans="1:26" ht="18" customHeight="1" x14ac:dyDescent="0.2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 spans="1:26" ht="18" customHeight="1" x14ac:dyDescent="0.2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 spans="1:26" ht="18" customHeight="1" x14ac:dyDescent="0.2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 spans="1:26" ht="18" customHeight="1" x14ac:dyDescent="0.2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 spans="1:26" ht="18" customHeight="1" x14ac:dyDescent="0.2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 spans="1:26" ht="18" customHeight="1" x14ac:dyDescent="0.2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 spans="1:26" ht="18" customHeight="1" x14ac:dyDescent="0.2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 spans="1:26" ht="18" customHeight="1" x14ac:dyDescent="0.2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 spans="1:26" ht="18" customHeight="1" x14ac:dyDescent="0.2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 spans="1:26" ht="18" customHeight="1" x14ac:dyDescent="0.2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 spans="1:26" ht="18" customHeight="1" x14ac:dyDescent="0.2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 spans="1:26" ht="18" customHeight="1" x14ac:dyDescent="0.2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 spans="1:26" ht="18" customHeight="1" x14ac:dyDescent="0.2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 spans="1:26" ht="18" customHeight="1" x14ac:dyDescent="0.2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 spans="1:26" ht="18" customHeight="1" x14ac:dyDescent="0.2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 spans="1:26" ht="18" customHeight="1" x14ac:dyDescent="0.2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 spans="1:26" ht="18" customHeight="1" x14ac:dyDescent="0.2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 spans="1:26" ht="18" customHeight="1" x14ac:dyDescent="0.2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 spans="1:26" ht="18" customHeight="1" x14ac:dyDescent="0.2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 spans="1:26" ht="18" customHeight="1" x14ac:dyDescent="0.2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 spans="1:26" ht="18" customHeight="1" x14ac:dyDescent="0.2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 spans="1:26" ht="18" customHeight="1" x14ac:dyDescent="0.2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 spans="1:26" ht="18" customHeight="1" x14ac:dyDescent="0.2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 spans="1:26" ht="18" customHeight="1" x14ac:dyDescent="0.2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 spans="1:26" ht="18" customHeight="1" x14ac:dyDescent="0.2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 spans="1:26" ht="18" customHeight="1" x14ac:dyDescent="0.2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 spans="1:26" ht="18" customHeight="1" x14ac:dyDescent="0.2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 spans="1:26" ht="18" customHeight="1" x14ac:dyDescent="0.2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 spans="1:26" ht="18" customHeight="1" x14ac:dyDescent="0.2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 spans="1:26" ht="18" customHeight="1" x14ac:dyDescent="0.2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 spans="1:26" ht="18" customHeight="1" x14ac:dyDescent="0.2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 spans="1:26" ht="18" customHeight="1" x14ac:dyDescent="0.2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 spans="1:26" ht="18" customHeight="1" x14ac:dyDescent="0.2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 spans="1:26" ht="18" customHeight="1" x14ac:dyDescent="0.2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 spans="1:26" ht="18" customHeight="1" x14ac:dyDescent="0.2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 spans="1:26" ht="18" customHeight="1" x14ac:dyDescent="0.2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 spans="1:26" ht="18" customHeight="1" x14ac:dyDescent="0.2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 spans="1:26" ht="18" customHeight="1" x14ac:dyDescent="0.2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 spans="1:26" ht="18" customHeight="1" x14ac:dyDescent="0.2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 spans="1:26" ht="18" customHeight="1" x14ac:dyDescent="0.2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 spans="1:26" ht="18" customHeight="1" x14ac:dyDescent="0.2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 spans="1:26" ht="18" customHeight="1" x14ac:dyDescent="0.2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 spans="1:26" ht="18" customHeight="1" x14ac:dyDescent="0.2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 spans="1:26" ht="18" customHeight="1" x14ac:dyDescent="0.2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 spans="1:26" ht="18" customHeight="1" x14ac:dyDescent="0.2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 spans="1:26" ht="18" customHeight="1" x14ac:dyDescent="0.2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 spans="1:26" ht="18" customHeight="1" x14ac:dyDescent="0.2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 spans="1:26" ht="18" customHeight="1" x14ac:dyDescent="0.2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 spans="1:26" ht="18" customHeight="1" x14ac:dyDescent="0.2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 spans="1:26" ht="18" customHeight="1" x14ac:dyDescent="0.2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 spans="1:26" ht="18" customHeight="1" x14ac:dyDescent="0.2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 spans="1:26" ht="18" customHeight="1" x14ac:dyDescent="0.2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 spans="1:26" ht="18" customHeight="1" x14ac:dyDescent="0.2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 spans="1:26" ht="18" customHeight="1" x14ac:dyDescent="0.2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 spans="1:26" ht="18" customHeight="1" x14ac:dyDescent="0.2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 spans="1:26" ht="18" customHeight="1" x14ac:dyDescent="0.2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 spans="1:26" ht="18" customHeight="1" x14ac:dyDescent="0.2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 spans="1:26" ht="18" customHeight="1" x14ac:dyDescent="0.2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 spans="1:26" ht="18" customHeight="1" x14ac:dyDescent="0.2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 spans="1:26" ht="18" customHeight="1" x14ac:dyDescent="0.2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 spans="1:26" ht="18" customHeight="1" x14ac:dyDescent="0.2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 spans="1:26" ht="18" customHeight="1" x14ac:dyDescent="0.2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 spans="1:26" ht="18" customHeight="1" x14ac:dyDescent="0.2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 spans="1:26" ht="18" customHeight="1" x14ac:dyDescent="0.2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 spans="1:26" ht="18" customHeight="1" x14ac:dyDescent="0.2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 spans="1:26" ht="18" customHeight="1" x14ac:dyDescent="0.2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 spans="1:26" ht="18" customHeight="1" x14ac:dyDescent="0.2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 spans="1:26" ht="18" customHeight="1" x14ac:dyDescent="0.2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 spans="1:26" ht="18" customHeight="1" x14ac:dyDescent="0.2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 spans="1:26" ht="18" customHeight="1" x14ac:dyDescent="0.2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 spans="1:26" ht="18" customHeight="1" x14ac:dyDescent="0.2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 spans="1:26" ht="18" customHeight="1" x14ac:dyDescent="0.2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 spans="1:26" ht="18" customHeight="1" x14ac:dyDescent="0.2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 spans="1:26" ht="18" customHeight="1" x14ac:dyDescent="0.2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 spans="1:26" ht="18" customHeight="1" x14ac:dyDescent="0.2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 spans="1:26" ht="18" customHeight="1" x14ac:dyDescent="0.2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 spans="1:26" ht="18" customHeight="1" x14ac:dyDescent="0.2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 spans="1:26" ht="18" customHeight="1" x14ac:dyDescent="0.2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 spans="1:26" ht="18" customHeight="1" x14ac:dyDescent="0.2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 spans="1:26" ht="18" customHeight="1" x14ac:dyDescent="0.2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 spans="1:26" ht="18" customHeight="1" x14ac:dyDescent="0.2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 spans="1:26" ht="18" customHeight="1" x14ac:dyDescent="0.2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 spans="1:26" ht="18" customHeight="1" x14ac:dyDescent="0.2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 spans="1:26" ht="18" customHeight="1" x14ac:dyDescent="0.2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 spans="1:26" ht="18" customHeight="1" x14ac:dyDescent="0.2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 spans="1:26" ht="18" customHeight="1" x14ac:dyDescent="0.2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 spans="1:26" ht="18" customHeight="1" x14ac:dyDescent="0.2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 spans="1:26" ht="18" customHeight="1" x14ac:dyDescent="0.2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 spans="1:26" ht="18" customHeight="1" x14ac:dyDescent="0.2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 spans="1:26" ht="18" customHeight="1" x14ac:dyDescent="0.2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 spans="1:26" ht="18" customHeight="1" x14ac:dyDescent="0.2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 spans="1:26" ht="18" customHeight="1" x14ac:dyDescent="0.2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 spans="1:26" ht="18" customHeight="1" x14ac:dyDescent="0.2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 spans="1:26" ht="18" customHeight="1" x14ac:dyDescent="0.2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 spans="1:26" ht="18" customHeight="1" x14ac:dyDescent="0.2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 spans="1:26" ht="18" customHeight="1" x14ac:dyDescent="0.2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 spans="1:26" ht="18" customHeight="1" x14ac:dyDescent="0.2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 spans="1:26" ht="18" customHeight="1" x14ac:dyDescent="0.2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 spans="1:26" ht="18" customHeight="1" x14ac:dyDescent="0.2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 spans="1:26" ht="18" customHeight="1" x14ac:dyDescent="0.2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 spans="1:26" ht="18" customHeight="1" x14ac:dyDescent="0.2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 spans="1:26" ht="18" customHeight="1" x14ac:dyDescent="0.2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 spans="1:26" ht="18" customHeight="1" x14ac:dyDescent="0.2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 spans="1:26" ht="18" customHeight="1" x14ac:dyDescent="0.2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 spans="1:26" ht="18" customHeight="1" x14ac:dyDescent="0.2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 spans="1:26" ht="18" customHeight="1" x14ac:dyDescent="0.2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 spans="1:26" ht="18" customHeight="1" x14ac:dyDescent="0.2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 spans="1:26" ht="18" customHeight="1" x14ac:dyDescent="0.2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 spans="1:26" ht="18" customHeight="1" x14ac:dyDescent="0.2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 spans="1:26" ht="18" customHeight="1" x14ac:dyDescent="0.2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 spans="1:26" ht="18" customHeight="1" x14ac:dyDescent="0.2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 spans="1:26" ht="18" customHeight="1" x14ac:dyDescent="0.2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 spans="1:26" ht="18" customHeight="1" x14ac:dyDescent="0.2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 spans="1:26" ht="18" customHeight="1" x14ac:dyDescent="0.2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 spans="1:26" ht="18" customHeight="1" x14ac:dyDescent="0.2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 spans="1:26" ht="18" customHeight="1" x14ac:dyDescent="0.2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 spans="1:26" ht="18" customHeight="1" x14ac:dyDescent="0.2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 spans="1:26" ht="18" customHeight="1" x14ac:dyDescent="0.2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 spans="1:26" ht="18" customHeight="1" x14ac:dyDescent="0.2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 spans="1:26" ht="18" customHeight="1" x14ac:dyDescent="0.2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 spans="1:26" ht="18" customHeight="1" x14ac:dyDescent="0.2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 spans="1:26" ht="18" customHeight="1" x14ac:dyDescent="0.2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 spans="1:26" ht="18" customHeight="1" x14ac:dyDescent="0.2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 spans="1:26" ht="18" customHeight="1" x14ac:dyDescent="0.2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 spans="1:26" ht="18" customHeight="1" x14ac:dyDescent="0.2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 spans="1:26" ht="18" customHeight="1" x14ac:dyDescent="0.2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 spans="1:26" ht="18" customHeight="1" x14ac:dyDescent="0.2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 spans="1:26" ht="18" customHeight="1" x14ac:dyDescent="0.2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 spans="1:26" ht="18" customHeight="1" x14ac:dyDescent="0.2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 spans="1:26" ht="18" customHeight="1" x14ac:dyDescent="0.2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 spans="1:26" ht="18" customHeight="1" x14ac:dyDescent="0.2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 spans="1:26" ht="18" customHeight="1" x14ac:dyDescent="0.2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 spans="1:26" ht="18" customHeight="1" x14ac:dyDescent="0.2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 spans="1:26" ht="18" customHeight="1" x14ac:dyDescent="0.2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 spans="1:26" ht="18" customHeight="1" x14ac:dyDescent="0.2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 spans="1:26" ht="18" customHeight="1" x14ac:dyDescent="0.2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 spans="1:26" ht="18" customHeight="1" x14ac:dyDescent="0.2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 spans="1:26" ht="18" customHeight="1" x14ac:dyDescent="0.2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 spans="1:26" ht="18" customHeight="1" x14ac:dyDescent="0.2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 spans="1:26" ht="18" customHeight="1" x14ac:dyDescent="0.2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 spans="1:26" ht="18" customHeight="1" x14ac:dyDescent="0.2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 spans="1:26" ht="18" customHeight="1" x14ac:dyDescent="0.2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 spans="1:26" ht="18" customHeight="1" x14ac:dyDescent="0.2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 spans="1:26" ht="18" customHeight="1" x14ac:dyDescent="0.2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 spans="1:26" ht="18" customHeight="1" x14ac:dyDescent="0.2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 spans="1:26" ht="18" customHeight="1" x14ac:dyDescent="0.2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 spans="1:26" ht="18" customHeight="1" x14ac:dyDescent="0.2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 spans="1:26" ht="18" customHeight="1" x14ac:dyDescent="0.2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 spans="1:26" ht="18" customHeight="1" x14ac:dyDescent="0.2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 spans="1:26" ht="18" customHeight="1" x14ac:dyDescent="0.2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 spans="1:26" ht="18" customHeight="1" x14ac:dyDescent="0.2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 spans="1:26" ht="18" customHeight="1" x14ac:dyDescent="0.2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 spans="1:26" ht="18" customHeight="1" x14ac:dyDescent="0.2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 spans="1:26" ht="18" customHeight="1" x14ac:dyDescent="0.2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 spans="1:26" ht="18" customHeight="1" x14ac:dyDescent="0.2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 spans="1:26" ht="18" customHeight="1" x14ac:dyDescent="0.2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 spans="1:26" ht="18" customHeight="1" x14ac:dyDescent="0.2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 spans="1:26" ht="18" customHeight="1" x14ac:dyDescent="0.2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 spans="1:26" ht="18" customHeight="1" x14ac:dyDescent="0.2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 spans="1:26" ht="18" customHeight="1" x14ac:dyDescent="0.2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 spans="1:26" ht="18" customHeight="1" x14ac:dyDescent="0.2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 spans="1:26" ht="18" customHeight="1" x14ac:dyDescent="0.2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 spans="1:26" ht="18" customHeight="1" x14ac:dyDescent="0.2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 spans="1:26" ht="18" customHeight="1" x14ac:dyDescent="0.2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 spans="1:26" ht="18" customHeight="1" x14ac:dyDescent="0.2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 spans="1:26" ht="18" customHeight="1" x14ac:dyDescent="0.2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 spans="1:26" ht="18" customHeight="1" x14ac:dyDescent="0.2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 spans="1:26" ht="18" customHeight="1" x14ac:dyDescent="0.2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 spans="1:26" ht="18" customHeight="1" x14ac:dyDescent="0.2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 spans="1:26" ht="18" customHeight="1" x14ac:dyDescent="0.2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 spans="1:26" ht="18" customHeight="1" x14ac:dyDescent="0.2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 spans="1:26" ht="18" customHeight="1" x14ac:dyDescent="0.2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 spans="1:26" ht="18" customHeight="1" x14ac:dyDescent="0.2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 spans="1:26" ht="18" customHeight="1" x14ac:dyDescent="0.2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 spans="1:26" ht="18" customHeight="1" x14ac:dyDescent="0.2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 spans="1:26" ht="18" customHeight="1" x14ac:dyDescent="0.2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 spans="1:26" ht="18" customHeight="1" x14ac:dyDescent="0.2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 spans="1:26" ht="18" customHeight="1" x14ac:dyDescent="0.2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 spans="1:26" ht="18" customHeight="1" x14ac:dyDescent="0.2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 spans="1:26" ht="18" customHeight="1" x14ac:dyDescent="0.2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 spans="1:26" ht="18" customHeight="1" x14ac:dyDescent="0.2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 spans="1:26" ht="18" customHeight="1" x14ac:dyDescent="0.2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 spans="1:26" ht="18" customHeight="1" x14ac:dyDescent="0.2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 spans="1:26" ht="18" customHeight="1" x14ac:dyDescent="0.2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 spans="1:26" ht="18" customHeight="1" x14ac:dyDescent="0.2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 spans="1:26" ht="18" customHeight="1" x14ac:dyDescent="0.2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 spans="1:26" ht="18" customHeight="1" x14ac:dyDescent="0.2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 spans="1:26" ht="18" customHeight="1" x14ac:dyDescent="0.2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 spans="1:26" ht="18" customHeight="1" x14ac:dyDescent="0.2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 spans="1:26" ht="18" customHeight="1" x14ac:dyDescent="0.2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 spans="1:26" ht="18" customHeight="1" x14ac:dyDescent="0.2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 spans="1:26" ht="18" customHeight="1" x14ac:dyDescent="0.2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 spans="1:26" ht="18" customHeight="1" x14ac:dyDescent="0.2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 spans="1:26" ht="18" customHeight="1" x14ac:dyDescent="0.2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 spans="1:26" ht="18" customHeight="1" x14ac:dyDescent="0.2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 spans="1:26" ht="18" customHeight="1" x14ac:dyDescent="0.2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 spans="1:26" ht="18" customHeight="1" x14ac:dyDescent="0.2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 spans="1:26" ht="18" customHeight="1" x14ac:dyDescent="0.2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 spans="1:26" ht="18" customHeight="1" x14ac:dyDescent="0.2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 spans="1:26" ht="18" customHeight="1" x14ac:dyDescent="0.2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 spans="1:26" ht="18" customHeight="1" x14ac:dyDescent="0.2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 spans="1:26" ht="18" customHeight="1" x14ac:dyDescent="0.2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 spans="1:26" ht="18" customHeight="1" x14ac:dyDescent="0.2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 spans="1:26" ht="18" customHeight="1" x14ac:dyDescent="0.2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 spans="1:26" ht="18" customHeight="1" x14ac:dyDescent="0.2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 spans="1:26" ht="18" customHeight="1" x14ac:dyDescent="0.2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 spans="1:26" ht="18" customHeight="1" x14ac:dyDescent="0.2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 spans="1:26" ht="18" customHeight="1" x14ac:dyDescent="0.2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 spans="1:26" ht="18" customHeight="1" x14ac:dyDescent="0.2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 spans="1:26" ht="18" customHeight="1" x14ac:dyDescent="0.2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 spans="1:26" ht="18" customHeight="1" x14ac:dyDescent="0.2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 spans="1:26" ht="18" customHeight="1" x14ac:dyDescent="0.2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 spans="1:26" ht="18" customHeight="1" x14ac:dyDescent="0.2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 spans="1:26" ht="18" customHeight="1" x14ac:dyDescent="0.2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 spans="1:26" ht="18" customHeight="1" x14ac:dyDescent="0.2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 spans="1:26" ht="18" customHeight="1" x14ac:dyDescent="0.2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 spans="1:26" ht="18" customHeight="1" x14ac:dyDescent="0.2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 spans="1:26" ht="18" customHeight="1" x14ac:dyDescent="0.2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 spans="1:26" ht="18" customHeight="1" x14ac:dyDescent="0.2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 spans="1:26" ht="18" customHeight="1" x14ac:dyDescent="0.2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 spans="1:26" ht="18" customHeight="1" x14ac:dyDescent="0.2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 spans="1:26" ht="18" customHeight="1" x14ac:dyDescent="0.2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 spans="1:26" ht="18" customHeight="1" x14ac:dyDescent="0.2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 spans="1:26" ht="18" customHeight="1" x14ac:dyDescent="0.2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 spans="1:26" ht="18" customHeight="1" x14ac:dyDescent="0.2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 spans="1:26" ht="18" customHeight="1" x14ac:dyDescent="0.2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 spans="1:26" ht="18" customHeight="1" x14ac:dyDescent="0.2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 spans="1:26" ht="18" customHeight="1" x14ac:dyDescent="0.2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 spans="1:26" ht="18" customHeight="1" x14ac:dyDescent="0.2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 spans="1:26" ht="18" customHeight="1" x14ac:dyDescent="0.2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 spans="1:26" ht="18" customHeight="1" x14ac:dyDescent="0.2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 spans="1:26" ht="18" customHeight="1" x14ac:dyDescent="0.2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 spans="1:26" ht="18" customHeight="1" x14ac:dyDescent="0.2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 spans="1:26" ht="18" customHeight="1" x14ac:dyDescent="0.2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 spans="1:26" ht="18" customHeight="1" x14ac:dyDescent="0.2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 spans="1:26" ht="18" customHeight="1" x14ac:dyDescent="0.2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 spans="1:26" ht="18" customHeight="1" x14ac:dyDescent="0.2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 spans="1:26" ht="18" customHeight="1" x14ac:dyDescent="0.2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 spans="1:26" ht="18" customHeight="1" x14ac:dyDescent="0.2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 spans="1:26" ht="18" customHeight="1" x14ac:dyDescent="0.2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 spans="1:26" ht="18" customHeight="1" x14ac:dyDescent="0.2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 spans="1:26" ht="18" customHeight="1" x14ac:dyDescent="0.2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 spans="1:26" ht="18" customHeight="1" x14ac:dyDescent="0.2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 spans="1:26" ht="18" customHeight="1" x14ac:dyDescent="0.2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 spans="1:26" ht="18" customHeight="1" x14ac:dyDescent="0.2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 spans="1:26" ht="18" customHeight="1" x14ac:dyDescent="0.2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 spans="1:26" ht="18" customHeight="1" x14ac:dyDescent="0.2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 spans="1:26" ht="18" customHeight="1" x14ac:dyDescent="0.2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 spans="1:26" ht="18" customHeight="1" x14ac:dyDescent="0.2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 spans="1:26" ht="18" customHeight="1" x14ac:dyDescent="0.2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 spans="1:26" ht="18" customHeight="1" x14ac:dyDescent="0.2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 spans="1:26" ht="18" customHeight="1" x14ac:dyDescent="0.2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 spans="1:26" ht="18" customHeight="1" x14ac:dyDescent="0.2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 spans="1:26" ht="18" customHeight="1" x14ac:dyDescent="0.2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 spans="1:26" ht="18" customHeight="1" x14ac:dyDescent="0.2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 spans="1:26" ht="18" customHeight="1" x14ac:dyDescent="0.2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 spans="1:26" ht="18" customHeight="1" x14ac:dyDescent="0.2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 spans="1:26" ht="18" customHeight="1" x14ac:dyDescent="0.2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 spans="1:26" ht="18" customHeight="1" x14ac:dyDescent="0.2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 spans="1:26" ht="18" customHeight="1" x14ac:dyDescent="0.2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 spans="1:26" ht="18" customHeight="1" x14ac:dyDescent="0.2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 spans="1:26" ht="18" customHeight="1" x14ac:dyDescent="0.2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 spans="1:26" ht="18" customHeight="1" x14ac:dyDescent="0.2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 spans="1:26" ht="18" customHeight="1" x14ac:dyDescent="0.2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 spans="1:26" ht="18" customHeight="1" x14ac:dyDescent="0.2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 spans="1:26" ht="18" customHeight="1" x14ac:dyDescent="0.2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 spans="1:26" ht="18" customHeight="1" x14ac:dyDescent="0.2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 spans="1:26" ht="18" customHeight="1" x14ac:dyDescent="0.2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 spans="1:26" ht="18" customHeight="1" x14ac:dyDescent="0.2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 spans="1:26" ht="18" customHeight="1" x14ac:dyDescent="0.2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 spans="1:26" ht="18" customHeight="1" x14ac:dyDescent="0.2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 spans="1:26" ht="18" customHeight="1" x14ac:dyDescent="0.2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 spans="1:26" ht="18" customHeight="1" x14ac:dyDescent="0.2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 spans="1:26" ht="18" customHeight="1" x14ac:dyDescent="0.2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 spans="1:26" ht="18" customHeight="1" x14ac:dyDescent="0.2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 spans="1:26" ht="18" customHeight="1" x14ac:dyDescent="0.2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 spans="1:26" ht="18" customHeight="1" x14ac:dyDescent="0.2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 spans="1:26" ht="18" customHeight="1" x14ac:dyDescent="0.2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 spans="1:26" ht="18" customHeight="1" x14ac:dyDescent="0.2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 spans="1:26" ht="18" customHeight="1" x14ac:dyDescent="0.2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 spans="1:26" ht="18" customHeight="1" x14ac:dyDescent="0.2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 spans="1:26" ht="18" customHeight="1" x14ac:dyDescent="0.2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 spans="1:26" ht="18" customHeight="1" x14ac:dyDescent="0.2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 spans="1:26" ht="18" customHeight="1" x14ac:dyDescent="0.2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 spans="1:26" ht="18" customHeight="1" x14ac:dyDescent="0.2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 spans="1:26" ht="18" customHeight="1" x14ac:dyDescent="0.2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 spans="1:26" ht="18" customHeight="1" x14ac:dyDescent="0.2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 spans="1:26" ht="18" customHeight="1" x14ac:dyDescent="0.2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 spans="1:26" ht="18" customHeight="1" x14ac:dyDescent="0.2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 spans="1:26" ht="18" customHeight="1" x14ac:dyDescent="0.2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 spans="1:26" ht="18" customHeight="1" x14ac:dyDescent="0.2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 spans="1:26" ht="18" customHeight="1" x14ac:dyDescent="0.2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 spans="1:26" ht="18" customHeight="1" x14ac:dyDescent="0.2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 spans="1:26" ht="18" customHeight="1" x14ac:dyDescent="0.2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 spans="1:26" ht="18" customHeight="1" x14ac:dyDescent="0.2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 spans="1:26" ht="18" customHeight="1" x14ac:dyDescent="0.2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 spans="1:26" ht="18" customHeight="1" x14ac:dyDescent="0.2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 spans="1:26" ht="18" customHeight="1" x14ac:dyDescent="0.2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 spans="1:26" ht="18" customHeight="1" x14ac:dyDescent="0.2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 spans="1:26" ht="18" customHeight="1" x14ac:dyDescent="0.2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 spans="1:26" ht="18" customHeight="1" x14ac:dyDescent="0.2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 spans="1:26" ht="18" customHeight="1" x14ac:dyDescent="0.2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 spans="1:26" ht="18" customHeight="1" x14ac:dyDescent="0.2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 spans="1:26" ht="18" customHeight="1" x14ac:dyDescent="0.2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 spans="1:26" ht="18" customHeight="1" x14ac:dyDescent="0.2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 spans="1:26" ht="18" customHeight="1" x14ac:dyDescent="0.2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 spans="1:26" ht="18" customHeight="1" x14ac:dyDescent="0.2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 spans="1:26" ht="18" customHeight="1" x14ac:dyDescent="0.2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 spans="1:26" ht="18" customHeight="1" x14ac:dyDescent="0.2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 spans="1:26" ht="18" customHeight="1" x14ac:dyDescent="0.2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 spans="1:26" ht="18" customHeight="1" x14ac:dyDescent="0.2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 spans="1:26" ht="18" customHeight="1" x14ac:dyDescent="0.2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 spans="1:26" ht="18" customHeight="1" x14ac:dyDescent="0.2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 spans="1:26" ht="18" customHeight="1" x14ac:dyDescent="0.2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 spans="1:26" ht="18" customHeight="1" x14ac:dyDescent="0.2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 spans="1:26" ht="18" customHeight="1" x14ac:dyDescent="0.2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 spans="1:26" ht="18" customHeight="1" x14ac:dyDescent="0.2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 spans="1:26" ht="18" customHeight="1" x14ac:dyDescent="0.2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 spans="1:26" ht="18" customHeight="1" x14ac:dyDescent="0.2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 spans="1:26" ht="18" customHeight="1" x14ac:dyDescent="0.2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 spans="1:26" ht="18" customHeight="1" x14ac:dyDescent="0.2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 spans="1:26" ht="18" customHeight="1" x14ac:dyDescent="0.2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 spans="1:26" ht="18" customHeight="1" x14ac:dyDescent="0.2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 spans="1:26" ht="18" customHeight="1" x14ac:dyDescent="0.2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 spans="1:26" ht="18" customHeight="1" x14ac:dyDescent="0.2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 spans="1:26" ht="18" customHeight="1" x14ac:dyDescent="0.2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 spans="1:26" ht="18" customHeight="1" x14ac:dyDescent="0.2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 spans="1:26" ht="18" customHeight="1" x14ac:dyDescent="0.2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 spans="1:26" ht="18" customHeight="1" x14ac:dyDescent="0.2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 spans="1:26" ht="18" customHeight="1" x14ac:dyDescent="0.2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 spans="1:26" ht="18" customHeight="1" x14ac:dyDescent="0.2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 spans="1:26" ht="18" customHeight="1" x14ac:dyDescent="0.2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 spans="1:26" ht="18" customHeight="1" x14ac:dyDescent="0.2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 spans="1:26" ht="18" customHeight="1" x14ac:dyDescent="0.2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 spans="1:26" ht="18" customHeight="1" x14ac:dyDescent="0.2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 spans="1:26" ht="18" customHeight="1" x14ac:dyDescent="0.2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 spans="1:26" ht="18" customHeight="1" x14ac:dyDescent="0.2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 spans="1:26" ht="18" customHeight="1" x14ac:dyDescent="0.2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 spans="1:26" ht="18" customHeight="1" x14ac:dyDescent="0.2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 spans="1:26" ht="18" customHeight="1" x14ac:dyDescent="0.2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 spans="1:26" ht="18" customHeight="1" x14ac:dyDescent="0.2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 spans="1:26" ht="18" customHeight="1" x14ac:dyDescent="0.2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 spans="1:26" ht="18" customHeight="1" x14ac:dyDescent="0.2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 spans="1:26" ht="18" customHeight="1" x14ac:dyDescent="0.2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 spans="1:26" ht="18" customHeight="1" x14ac:dyDescent="0.2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 spans="1:26" ht="18" customHeight="1" x14ac:dyDescent="0.2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 spans="1:26" ht="18" customHeight="1" x14ac:dyDescent="0.2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 spans="1:26" ht="18" customHeight="1" x14ac:dyDescent="0.2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 spans="1:26" ht="18" customHeight="1" x14ac:dyDescent="0.2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 spans="1:26" ht="18" customHeight="1" x14ac:dyDescent="0.2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 spans="1:26" ht="18" customHeight="1" x14ac:dyDescent="0.2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 spans="1:26" ht="18" customHeight="1" x14ac:dyDescent="0.2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 spans="1:26" ht="18" customHeight="1" x14ac:dyDescent="0.2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 spans="1:26" ht="18" customHeight="1" x14ac:dyDescent="0.2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 spans="1:26" ht="18" customHeight="1" x14ac:dyDescent="0.2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 spans="1:26" ht="18" customHeight="1" x14ac:dyDescent="0.2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 spans="1:26" ht="18" customHeight="1" x14ac:dyDescent="0.2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 spans="1:26" ht="18" customHeight="1" x14ac:dyDescent="0.2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 spans="1:26" ht="18" customHeight="1" x14ac:dyDescent="0.2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 spans="1:26" ht="18" customHeight="1" x14ac:dyDescent="0.2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 spans="1:26" ht="18" customHeight="1" x14ac:dyDescent="0.2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 spans="1:26" ht="18" customHeight="1" x14ac:dyDescent="0.2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 spans="1:26" ht="18" customHeight="1" x14ac:dyDescent="0.2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 spans="1:26" ht="18" customHeight="1" x14ac:dyDescent="0.2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 spans="1:26" ht="18" customHeight="1" x14ac:dyDescent="0.2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 spans="1:26" ht="18" customHeight="1" x14ac:dyDescent="0.2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 spans="1:26" ht="18" customHeight="1" x14ac:dyDescent="0.2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 spans="1:26" ht="18" customHeight="1" x14ac:dyDescent="0.2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 spans="1:26" ht="18" customHeight="1" x14ac:dyDescent="0.2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 spans="1:26" ht="18" customHeight="1" x14ac:dyDescent="0.2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 spans="1:26" ht="18" customHeight="1" x14ac:dyDescent="0.2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 spans="1:26" ht="18" customHeight="1" x14ac:dyDescent="0.2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 spans="1:26" ht="18" customHeight="1" x14ac:dyDescent="0.2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 spans="1:26" ht="18" customHeight="1" x14ac:dyDescent="0.2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 spans="1:26" ht="18" customHeight="1" x14ac:dyDescent="0.2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 spans="1:26" ht="18" customHeight="1" x14ac:dyDescent="0.2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 spans="1:26" ht="18" customHeight="1" x14ac:dyDescent="0.2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 spans="1:26" ht="18" customHeight="1" x14ac:dyDescent="0.2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 spans="1:26" ht="18" customHeight="1" x14ac:dyDescent="0.2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 spans="1:26" ht="18" customHeight="1" x14ac:dyDescent="0.2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 spans="1:26" ht="18" customHeight="1" x14ac:dyDescent="0.2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 spans="1:26" ht="18" customHeight="1" x14ac:dyDescent="0.2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 spans="1:26" ht="18" customHeight="1" x14ac:dyDescent="0.2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 spans="1:26" ht="18" customHeight="1" x14ac:dyDescent="0.2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 spans="1:26" ht="18" customHeight="1" x14ac:dyDescent="0.2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 spans="1:26" ht="18" customHeight="1" x14ac:dyDescent="0.2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 spans="1:26" ht="18" customHeight="1" x14ac:dyDescent="0.2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 spans="1:26" ht="18" customHeight="1" x14ac:dyDescent="0.2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 spans="1:26" ht="18" customHeight="1" x14ac:dyDescent="0.2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 spans="1:26" ht="18" customHeight="1" x14ac:dyDescent="0.2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 spans="1:26" ht="18" customHeight="1" x14ac:dyDescent="0.2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 spans="1:26" ht="18" customHeight="1" x14ac:dyDescent="0.2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 spans="1:26" ht="18" customHeight="1" x14ac:dyDescent="0.2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 spans="1:26" ht="18" customHeight="1" x14ac:dyDescent="0.2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 spans="1:26" ht="18" customHeight="1" x14ac:dyDescent="0.2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 spans="1:26" ht="18" customHeight="1" x14ac:dyDescent="0.2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 spans="1:26" ht="18" customHeight="1" x14ac:dyDescent="0.2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 spans="1:26" ht="18" customHeight="1" x14ac:dyDescent="0.2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 spans="1:26" ht="18" customHeight="1" x14ac:dyDescent="0.2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 spans="1:26" ht="18" customHeight="1" x14ac:dyDescent="0.2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 spans="1:26" ht="18" customHeight="1" x14ac:dyDescent="0.2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 spans="1:26" ht="18" customHeight="1" x14ac:dyDescent="0.2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 spans="1:26" ht="18" customHeight="1" x14ac:dyDescent="0.2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 spans="1:26" ht="18" customHeight="1" x14ac:dyDescent="0.2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 spans="1:26" ht="18" customHeight="1" x14ac:dyDescent="0.2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 spans="1:26" ht="18" customHeight="1" x14ac:dyDescent="0.2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 spans="1:26" ht="18" customHeight="1" x14ac:dyDescent="0.2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 spans="1:26" ht="18" customHeight="1" x14ac:dyDescent="0.2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 spans="1:26" ht="18" customHeight="1" x14ac:dyDescent="0.2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 spans="1:26" ht="18" customHeight="1" x14ac:dyDescent="0.2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 spans="1:26" ht="18" customHeight="1" x14ac:dyDescent="0.2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 spans="1:26" ht="18" customHeight="1" x14ac:dyDescent="0.2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 spans="1:26" ht="18" customHeight="1" x14ac:dyDescent="0.2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 spans="1:26" ht="18" customHeight="1" x14ac:dyDescent="0.2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 spans="1:26" ht="18" customHeight="1" x14ac:dyDescent="0.2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 spans="1:26" ht="18" customHeight="1" x14ac:dyDescent="0.2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 spans="1:26" ht="18" customHeight="1" x14ac:dyDescent="0.2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  <row r="942" spans="1:26" ht="18" customHeight="1" x14ac:dyDescent="0.2">
      <c r="A942" s="73"/>
      <c r="B942" s="73"/>
      <c r="C942" s="73"/>
      <c r="D942" s="73"/>
      <c r="E942" s="73"/>
      <c r="F942" s="73"/>
      <c r="G942" s="73"/>
      <c r="H942" s="73"/>
      <c r="I942" s="73"/>
      <c r="J942" s="73"/>
      <c r="K942" s="73"/>
      <c r="L942" s="73"/>
      <c r="M942" s="73"/>
      <c r="N942" s="73"/>
      <c r="O942" s="73"/>
      <c r="P942" s="73"/>
      <c r="Q942" s="73"/>
      <c r="R942" s="73"/>
      <c r="S942" s="73"/>
      <c r="T942" s="73"/>
      <c r="U942" s="73"/>
      <c r="V942" s="73"/>
      <c r="W942" s="73"/>
      <c r="X942" s="73"/>
      <c r="Y942" s="73"/>
      <c r="Z942" s="73"/>
    </row>
    <row r="943" spans="1:26" ht="18" customHeight="1" x14ac:dyDescent="0.2">
      <c r="A943" s="73"/>
      <c r="B943" s="73"/>
      <c r="C943" s="73"/>
      <c r="D943" s="73"/>
      <c r="E943" s="73"/>
      <c r="F943" s="73"/>
      <c r="G943" s="73"/>
      <c r="H943" s="73"/>
      <c r="I943" s="73"/>
      <c r="J943" s="73"/>
      <c r="K943" s="73"/>
      <c r="L943" s="73"/>
      <c r="M943" s="73"/>
      <c r="N943" s="73"/>
      <c r="O943" s="73"/>
      <c r="P943" s="73"/>
      <c r="Q943" s="73"/>
      <c r="R943" s="73"/>
      <c r="S943" s="73"/>
      <c r="T943" s="73"/>
      <c r="U943" s="73"/>
      <c r="V943" s="73"/>
      <c r="W943" s="73"/>
      <c r="X943" s="73"/>
      <c r="Y943" s="73"/>
      <c r="Z943" s="73"/>
    </row>
    <row r="944" spans="1:26" ht="18" customHeight="1" x14ac:dyDescent="0.2">
      <c r="A944" s="73"/>
      <c r="B944" s="73"/>
      <c r="C944" s="73"/>
      <c r="D944" s="73"/>
      <c r="E944" s="73"/>
      <c r="F944" s="73"/>
      <c r="G944" s="73"/>
      <c r="H944" s="73"/>
      <c r="I944" s="73"/>
      <c r="J944" s="73"/>
      <c r="K944" s="73"/>
      <c r="L944" s="73"/>
      <c r="M944" s="73"/>
      <c r="N944" s="73"/>
      <c r="O944" s="73"/>
      <c r="P944" s="73"/>
      <c r="Q944" s="73"/>
      <c r="R944" s="73"/>
      <c r="S944" s="73"/>
      <c r="T944" s="73"/>
      <c r="U944" s="73"/>
      <c r="V944" s="73"/>
      <c r="W944" s="73"/>
      <c r="X944" s="73"/>
      <c r="Y944" s="73"/>
      <c r="Z944" s="73"/>
    </row>
    <row r="945" spans="1:26" ht="18" customHeight="1" x14ac:dyDescent="0.2">
      <c r="A945" s="73"/>
      <c r="B945" s="73"/>
      <c r="C945" s="73"/>
      <c r="D945" s="73"/>
      <c r="E945" s="73"/>
      <c r="F945" s="73"/>
      <c r="G945" s="73"/>
      <c r="H945" s="73"/>
      <c r="I945" s="73"/>
      <c r="J945" s="73"/>
      <c r="K945" s="73"/>
      <c r="L945" s="73"/>
      <c r="M945" s="73"/>
      <c r="N945" s="73"/>
      <c r="O945" s="73"/>
      <c r="P945" s="73"/>
      <c r="Q945" s="73"/>
      <c r="R945" s="73"/>
      <c r="S945" s="73"/>
      <c r="T945" s="73"/>
      <c r="U945" s="73"/>
      <c r="V945" s="73"/>
      <c r="W945" s="73"/>
      <c r="X945" s="73"/>
      <c r="Y945" s="73"/>
      <c r="Z945" s="73"/>
    </row>
    <row r="946" spans="1:26" ht="18" customHeight="1" x14ac:dyDescent="0.2">
      <c r="A946" s="73"/>
      <c r="B946" s="73"/>
      <c r="C946" s="73"/>
      <c r="D946" s="73"/>
      <c r="E946" s="73"/>
      <c r="F946" s="73"/>
      <c r="G946" s="73"/>
      <c r="H946" s="73"/>
      <c r="I946" s="73"/>
      <c r="J946" s="73"/>
      <c r="K946" s="73"/>
      <c r="L946" s="73"/>
      <c r="M946" s="73"/>
      <c r="N946" s="73"/>
      <c r="O946" s="73"/>
      <c r="P946" s="73"/>
      <c r="Q946" s="73"/>
      <c r="R946" s="73"/>
      <c r="S946" s="73"/>
      <c r="T946" s="73"/>
      <c r="U946" s="73"/>
      <c r="V946" s="73"/>
      <c r="W946" s="73"/>
      <c r="X946" s="73"/>
      <c r="Y946" s="73"/>
      <c r="Z946" s="73"/>
    </row>
    <row r="947" spans="1:26" ht="18" customHeight="1" x14ac:dyDescent="0.2">
      <c r="A947" s="73"/>
      <c r="B947" s="73"/>
      <c r="C947" s="73"/>
      <c r="D947" s="73"/>
      <c r="E947" s="73"/>
      <c r="F947" s="73"/>
      <c r="G947" s="73"/>
      <c r="H947" s="73"/>
      <c r="I947" s="73"/>
      <c r="J947" s="73"/>
      <c r="K947" s="73"/>
      <c r="L947" s="73"/>
      <c r="M947" s="73"/>
      <c r="N947" s="73"/>
      <c r="O947" s="73"/>
      <c r="P947" s="73"/>
      <c r="Q947" s="73"/>
      <c r="R947" s="73"/>
      <c r="S947" s="73"/>
      <c r="T947" s="73"/>
      <c r="U947" s="73"/>
      <c r="V947" s="73"/>
      <c r="W947" s="73"/>
      <c r="X947" s="73"/>
      <c r="Y947" s="73"/>
      <c r="Z947" s="73"/>
    </row>
    <row r="948" spans="1:26" ht="18" customHeight="1" x14ac:dyDescent="0.2">
      <c r="A948" s="73"/>
      <c r="B948" s="73"/>
      <c r="C948" s="73"/>
      <c r="D948" s="73"/>
      <c r="E948" s="73"/>
      <c r="F948" s="73"/>
      <c r="G948" s="73"/>
      <c r="H948" s="73"/>
      <c r="I948" s="73"/>
      <c r="J948" s="73"/>
      <c r="K948" s="73"/>
      <c r="L948" s="73"/>
      <c r="M948" s="73"/>
      <c r="N948" s="73"/>
      <c r="O948" s="73"/>
      <c r="P948" s="73"/>
      <c r="Q948" s="73"/>
      <c r="R948" s="73"/>
      <c r="S948" s="73"/>
      <c r="T948" s="73"/>
      <c r="U948" s="73"/>
      <c r="V948" s="73"/>
      <c r="W948" s="73"/>
      <c r="X948" s="73"/>
      <c r="Y948" s="73"/>
      <c r="Z948" s="73"/>
    </row>
    <row r="949" spans="1:26" ht="18" customHeight="1" x14ac:dyDescent="0.2">
      <c r="A949" s="73"/>
      <c r="B949" s="73"/>
      <c r="C949" s="73"/>
      <c r="D949" s="73"/>
      <c r="E949" s="73"/>
      <c r="F949" s="73"/>
      <c r="G949" s="73"/>
      <c r="H949" s="73"/>
      <c r="I949" s="73"/>
      <c r="J949" s="73"/>
      <c r="K949" s="73"/>
      <c r="L949" s="73"/>
      <c r="M949" s="73"/>
      <c r="N949" s="73"/>
      <c r="O949" s="73"/>
      <c r="P949" s="73"/>
      <c r="Q949" s="73"/>
      <c r="R949" s="73"/>
      <c r="S949" s="73"/>
      <c r="T949" s="73"/>
      <c r="U949" s="73"/>
      <c r="V949" s="73"/>
      <c r="W949" s="73"/>
      <c r="X949" s="73"/>
      <c r="Y949" s="73"/>
      <c r="Z949" s="73"/>
    </row>
    <row r="950" spans="1:26" ht="18" customHeight="1" x14ac:dyDescent="0.2">
      <c r="A950" s="73"/>
      <c r="B950" s="73"/>
      <c r="C950" s="73"/>
      <c r="D950" s="73"/>
      <c r="E950" s="73"/>
      <c r="F950" s="73"/>
      <c r="G950" s="73"/>
      <c r="H950" s="73"/>
      <c r="I950" s="73"/>
      <c r="J950" s="73"/>
      <c r="K950" s="73"/>
      <c r="L950" s="73"/>
      <c r="M950" s="73"/>
      <c r="N950" s="73"/>
      <c r="O950" s="73"/>
      <c r="P950" s="73"/>
      <c r="Q950" s="73"/>
      <c r="R950" s="73"/>
      <c r="S950" s="73"/>
      <c r="T950" s="73"/>
      <c r="U950" s="73"/>
      <c r="V950" s="73"/>
      <c r="W950" s="73"/>
      <c r="X950" s="73"/>
      <c r="Y950" s="73"/>
      <c r="Z950" s="73"/>
    </row>
    <row r="951" spans="1:26" ht="18" customHeight="1" x14ac:dyDescent="0.2">
      <c r="A951" s="73"/>
      <c r="B951" s="73"/>
      <c r="C951" s="73"/>
      <c r="D951" s="73"/>
      <c r="E951" s="73"/>
      <c r="F951" s="73"/>
      <c r="G951" s="73"/>
      <c r="H951" s="73"/>
      <c r="I951" s="73"/>
      <c r="J951" s="73"/>
      <c r="K951" s="73"/>
      <c r="L951" s="73"/>
      <c r="M951" s="73"/>
      <c r="N951" s="73"/>
      <c r="O951" s="73"/>
      <c r="P951" s="73"/>
      <c r="Q951" s="73"/>
      <c r="R951" s="73"/>
      <c r="S951" s="73"/>
      <c r="T951" s="73"/>
      <c r="U951" s="73"/>
      <c r="V951" s="73"/>
      <c r="W951" s="73"/>
      <c r="X951" s="73"/>
      <c r="Y951" s="73"/>
      <c r="Z951" s="73"/>
    </row>
    <row r="952" spans="1:26" ht="18" customHeight="1" x14ac:dyDescent="0.2">
      <c r="A952" s="73"/>
      <c r="B952" s="73"/>
      <c r="C952" s="73"/>
      <c r="D952" s="73"/>
      <c r="E952" s="73"/>
      <c r="F952" s="73"/>
      <c r="G952" s="73"/>
      <c r="H952" s="73"/>
      <c r="I952" s="73"/>
      <c r="J952" s="73"/>
      <c r="K952" s="73"/>
      <c r="L952" s="73"/>
      <c r="M952" s="73"/>
      <c r="N952" s="73"/>
      <c r="O952" s="73"/>
      <c r="P952" s="73"/>
      <c r="Q952" s="73"/>
      <c r="R952" s="73"/>
      <c r="S952" s="73"/>
      <c r="T952" s="73"/>
      <c r="U952" s="73"/>
      <c r="V952" s="73"/>
      <c r="W952" s="73"/>
      <c r="X952" s="73"/>
      <c r="Y952" s="73"/>
      <c r="Z952" s="73"/>
    </row>
    <row r="953" spans="1:26" ht="18" customHeight="1" x14ac:dyDescent="0.2">
      <c r="A953" s="73"/>
      <c r="B953" s="73"/>
      <c r="C953" s="73"/>
      <c r="D953" s="73"/>
      <c r="E953" s="73"/>
      <c r="F953" s="73"/>
      <c r="G953" s="73"/>
      <c r="H953" s="73"/>
      <c r="I953" s="73"/>
      <c r="J953" s="73"/>
      <c r="K953" s="73"/>
      <c r="L953" s="73"/>
      <c r="M953" s="73"/>
      <c r="N953" s="73"/>
      <c r="O953" s="73"/>
      <c r="P953" s="73"/>
      <c r="Q953" s="73"/>
      <c r="R953" s="73"/>
      <c r="S953" s="73"/>
      <c r="T953" s="73"/>
      <c r="U953" s="73"/>
      <c r="V953" s="73"/>
      <c r="W953" s="73"/>
      <c r="X953" s="73"/>
      <c r="Y953" s="73"/>
      <c r="Z953" s="73"/>
    </row>
    <row r="954" spans="1:26" ht="18" customHeight="1" x14ac:dyDescent="0.2">
      <c r="A954" s="73"/>
      <c r="B954" s="73"/>
      <c r="C954" s="73"/>
      <c r="D954" s="73"/>
      <c r="E954" s="73"/>
      <c r="F954" s="73"/>
      <c r="G954" s="73"/>
      <c r="H954" s="73"/>
      <c r="I954" s="73"/>
      <c r="J954" s="73"/>
      <c r="K954" s="73"/>
      <c r="L954" s="73"/>
      <c r="M954" s="73"/>
      <c r="N954" s="73"/>
      <c r="O954" s="73"/>
      <c r="P954" s="73"/>
      <c r="Q954" s="73"/>
      <c r="R954" s="73"/>
      <c r="S954" s="73"/>
      <c r="T954" s="73"/>
      <c r="U954" s="73"/>
      <c r="V954" s="73"/>
      <c r="W954" s="73"/>
      <c r="X954" s="73"/>
      <c r="Y954" s="73"/>
      <c r="Z954" s="73"/>
    </row>
    <row r="955" spans="1:26" ht="18" customHeight="1" x14ac:dyDescent="0.2">
      <c r="A955" s="73"/>
      <c r="B955" s="73"/>
      <c r="C955" s="73"/>
      <c r="D955" s="73"/>
      <c r="E955" s="73"/>
      <c r="F955" s="73"/>
      <c r="G955" s="73"/>
      <c r="H955" s="73"/>
      <c r="I955" s="73"/>
      <c r="J955" s="73"/>
      <c r="K955" s="73"/>
      <c r="L955" s="73"/>
      <c r="M955" s="73"/>
      <c r="N955" s="73"/>
      <c r="O955" s="73"/>
      <c r="P955" s="73"/>
      <c r="Q955" s="73"/>
      <c r="R955" s="73"/>
      <c r="S955" s="73"/>
      <c r="T955" s="73"/>
      <c r="U955" s="73"/>
      <c r="V955" s="73"/>
      <c r="W955" s="73"/>
      <c r="X955" s="73"/>
      <c r="Y955" s="73"/>
      <c r="Z955" s="73"/>
    </row>
    <row r="956" spans="1:26" ht="18" customHeight="1" x14ac:dyDescent="0.2">
      <c r="A956" s="73"/>
      <c r="B956" s="73"/>
      <c r="C956" s="73"/>
      <c r="D956" s="73"/>
      <c r="E956" s="73"/>
      <c r="F956" s="73"/>
      <c r="G956" s="73"/>
      <c r="H956" s="73"/>
      <c r="I956" s="73"/>
      <c r="J956" s="73"/>
      <c r="K956" s="73"/>
      <c r="L956" s="73"/>
      <c r="M956" s="73"/>
      <c r="N956" s="73"/>
      <c r="O956" s="73"/>
      <c r="P956" s="73"/>
      <c r="Q956" s="73"/>
      <c r="R956" s="73"/>
      <c r="S956" s="73"/>
      <c r="T956" s="73"/>
      <c r="U956" s="73"/>
      <c r="V956" s="73"/>
      <c r="W956" s="73"/>
      <c r="X956" s="73"/>
      <c r="Y956" s="73"/>
      <c r="Z956" s="73"/>
    </row>
    <row r="957" spans="1:26" ht="18" customHeight="1" x14ac:dyDescent="0.2">
      <c r="A957" s="73"/>
      <c r="B957" s="73"/>
      <c r="C957" s="73"/>
      <c r="D957" s="73"/>
      <c r="E957" s="73"/>
      <c r="F957" s="73"/>
      <c r="G957" s="73"/>
      <c r="H957" s="73"/>
      <c r="I957" s="73"/>
      <c r="J957" s="73"/>
      <c r="K957" s="73"/>
      <c r="L957" s="73"/>
      <c r="M957" s="73"/>
      <c r="N957" s="73"/>
      <c r="O957" s="73"/>
      <c r="P957" s="73"/>
      <c r="Q957" s="73"/>
      <c r="R957" s="73"/>
      <c r="S957" s="73"/>
      <c r="T957" s="73"/>
      <c r="U957" s="73"/>
      <c r="V957" s="73"/>
      <c r="W957" s="73"/>
      <c r="X957" s="73"/>
      <c r="Y957" s="73"/>
      <c r="Z957" s="73"/>
    </row>
    <row r="958" spans="1:26" ht="18" customHeight="1" x14ac:dyDescent="0.2">
      <c r="A958" s="73"/>
      <c r="B958" s="73"/>
      <c r="C958" s="73"/>
      <c r="D958" s="73"/>
      <c r="E958" s="73"/>
      <c r="F958" s="73"/>
      <c r="G958" s="73"/>
      <c r="H958" s="73"/>
      <c r="I958" s="73"/>
      <c r="J958" s="73"/>
      <c r="K958" s="73"/>
      <c r="L958" s="73"/>
      <c r="M958" s="73"/>
      <c r="N958" s="73"/>
      <c r="O958" s="73"/>
      <c r="P958" s="73"/>
      <c r="Q958" s="73"/>
      <c r="R958" s="73"/>
      <c r="S958" s="73"/>
      <c r="T958" s="73"/>
      <c r="U958" s="73"/>
      <c r="V958" s="73"/>
      <c r="W958" s="73"/>
      <c r="X958" s="73"/>
      <c r="Y958" s="73"/>
      <c r="Z958" s="73"/>
    </row>
    <row r="959" spans="1:26" ht="18" customHeight="1" x14ac:dyDescent="0.2">
      <c r="A959" s="73"/>
      <c r="B959" s="73"/>
      <c r="C959" s="73"/>
      <c r="D959" s="73"/>
      <c r="E959" s="73"/>
      <c r="F959" s="73"/>
      <c r="G959" s="73"/>
      <c r="H959" s="73"/>
      <c r="I959" s="73"/>
      <c r="J959" s="73"/>
      <c r="K959" s="73"/>
      <c r="L959" s="73"/>
      <c r="M959" s="73"/>
      <c r="N959" s="73"/>
      <c r="O959" s="73"/>
      <c r="P959" s="73"/>
      <c r="Q959" s="73"/>
      <c r="R959" s="73"/>
      <c r="S959" s="73"/>
      <c r="T959" s="73"/>
      <c r="U959" s="73"/>
      <c r="V959" s="73"/>
      <c r="W959" s="73"/>
      <c r="X959" s="73"/>
      <c r="Y959" s="73"/>
      <c r="Z959" s="73"/>
    </row>
    <row r="960" spans="1:26" ht="18" customHeight="1" x14ac:dyDescent="0.2">
      <c r="A960" s="73"/>
      <c r="B960" s="73"/>
      <c r="C960" s="73"/>
      <c r="D960" s="73"/>
      <c r="E960" s="73"/>
      <c r="F960" s="73"/>
      <c r="G960" s="73"/>
      <c r="H960" s="73"/>
      <c r="I960" s="73"/>
      <c r="J960" s="73"/>
      <c r="K960" s="73"/>
      <c r="L960" s="73"/>
      <c r="M960" s="73"/>
      <c r="N960" s="73"/>
      <c r="O960" s="73"/>
      <c r="P960" s="73"/>
      <c r="Q960" s="73"/>
      <c r="R960" s="73"/>
      <c r="S960" s="73"/>
      <c r="T960" s="73"/>
      <c r="U960" s="73"/>
      <c r="V960" s="73"/>
      <c r="W960" s="73"/>
      <c r="X960" s="73"/>
      <c r="Y960" s="73"/>
      <c r="Z960" s="73"/>
    </row>
    <row r="961" spans="1:26" ht="18" customHeight="1" x14ac:dyDescent="0.2">
      <c r="A961" s="73"/>
      <c r="B961" s="73"/>
      <c r="C961" s="73"/>
      <c r="D961" s="73"/>
      <c r="E961" s="73"/>
      <c r="F961" s="73"/>
      <c r="G961" s="73"/>
      <c r="H961" s="73"/>
      <c r="I961" s="73"/>
      <c r="J961" s="73"/>
      <c r="K961" s="73"/>
      <c r="L961" s="73"/>
      <c r="M961" s="73"/>
      <c r="N961" s="73"/>
      <c r="O961" s="73"/>
      <c r="P961" s="73"/>
      <c r="Q961" s="73"/>
      <c r="R961" s="73"/>
      <c r="S961" s="73"/>
      <c r="T961" s="73"/>
      <c r="U961" s="73"/>
      <c r="V961" s="73"/>
      <c r="W961" s="73"/>
      <c r="X961" s="73"/>
      <c r="Y961" s="73"/>
      <c r="Z961" s="73"/>
    </row>
    <row r="962" spans="1:26" ht="18" customHeight="1" x14ac:dyDescent="0.2">
      <c r="A962" s="73"/>
      <c r="B962" s="73"/>
      <c r="C962" s="73"/>
      <c r="D962" s="73"/>
      <c r="E962" s="73"/>
      <c r="F962" s="73"/>
      <c r="G962" s="73"/>
      <c r="H962" s="73"/>
      <c r="I962" s="73"/>
      <c r="J962" s="73"/>
      <c r="K962" s="73"/>
      <c r="L962" s="73"/>
      <c r="M962" s="73"/>
      <c r="N962" s="73"/>
      <c r="O962" s="73"/>
      <c r="P962" s="73"/>
      <c r="Q962" s="73"/>
      <c r="R962" s="73"/>
      <c r="S962" s="73"/>
      <c r="T962" s="73"/>
      <c r="U962" s="73"/>
      <c r="V962" s="73"/>
      <c r="W962" s="73"/>
      <c r="X962" s="73"/>
      <c r="Y962" s="73"/>
      <c r="Z962" s="73"/>
    </row>
    <row r="963" spans="1:26" ht="18" customHeight="1" x14ac:dyDescent="0.2">
      <c r="A963" s="73"/>
      <c r="B963" s="73"/>
      <c r="C963" s="73"/>
      <c r="D963" s="73"/>
      <c r="E963" s="73"/>
      <c r="F963" s="73"/>
      <c r="G963" s="73"/>
      <c r="H963" s="73"/>
      <c r="I963" s="73"/>
      <c r="J963" s="73"/>
      <c r="K963" s="73"/>
      <c r="L963" s="73"/>
      <c r="M963" s="73"/>
      <c r="N963" s="73"/>
      <c r="O963" s="73"/>
      <c r="P963" s="73"/>
      <c r="Q963" s="73"/>
      <c r="R963" s="73"/>
      <c r="S963" s="73"/>
      <c r="T963" s="73"/>
      <c r="U963" s="73"/>
      <c r="V963" s="73"/>
      <c r="W963" s="73"/>
      <c r="X963" s="73"/>
      <c r="Y963" s="73"/>
      <c r="Z963" s="73"/>
    </row>
    <row r="964" spans="1:26" ht="18" customHeight="1" x14ac:dyDescent="0.2">
      <c r="A964" s="73"/>
      <c r="B964" s="73"/>
      <c r="C964" s="73"/>
      <c r="D964" s="73"/>
      <c r="E964" s="73"/>
      <c r="F964" s="73"/>
      <c r="G964" s="73"/>
      <c r="H964" s="73"/>
      <c r="I964" s="73"/>
      <c r="J964" s="73"/>
      <c r="K964" s="73"/>
      <c r="L964" s="73"/>
      <c r="M964" s="73"/>
      <c r="N964" s="73"/>
      <c r="O964" s="73"/>
      <c r="P964" s="73"/>
      <c r="Q964" s="73"/>
      <c r="R964" s="73"/>
      <c r="S964" s="73"/>
      <c r="T964" s="73"/>
      <c r="U964" s="73"/>
      <c r="V964" s="73"/>
      <c r="W964" s="73"/>
      <c r="X964" s="73"/>
      <c r="Y964" s="73"/>
      <c r="Z964" s="73"/>
    </row>
    <row r="965" spans="1:26" ht="18" customHeight="1" x14ac:dyDescent="0.2">
      <c r="A965" s="73"/>
      <c r="B965" s="73"/>
      <c r="C965" s="73"/>
      <c r="D965" s="73"/>
      <c r="E965" s="73"/>
      <c r="F965" s="73"/>
      <c r="G965" s="73"/>
      <c r="H965" s="73"/>
      <c r="I965" s="73"/>
      <c r="J965" s="73"/>
      <c r="K965" s="73"/>
      <c r="L965" s="73"/>
      <c r="M965" s="73"/>
      <c r="N965" s="73"/>
      <c r="O965" s="73"/>
      <c r="P965" s="73"/>
      <c r="Q965" s="73"/>
      <c r="R965" s="73"/>
      <c r="S965" s="73"/>
      <c r="T965" s="73"/>
      <c r="U965" s="73"/>
      <c r="V965" s="73"/>
      <c r="W965" s="73"/>
      <c r="X965" s="73"/>
      <c r="Y965" s="73"/>
      <c r="Z965" s="73"/>
    </row>
    <row r="966" spans="1:26" ht="18" customHeight="1" x14ac:dyDescent="0.2">
      <c r="A966" s="73"/>
      <c r="B966" s="73"/>
      <c r="C966" s="73"/>
      <c r="D966" s="73"/>
      <c r="E966" s="73"/>
      <c r="F966" s="73"/>
      <c r="G966" s="73"/>
      <c r="H966" s="73"/>
      <c r="I966" s="73"/>
      <c r="J966" s="73"/>
      <c r="K966" s="73"/>
      <c r="L966" s="73"/>
      <c r="M966" s="73"/>
      <c r="N966" s="73"/>
      <c r="O966" s="73"/>
      <c r="P966" s="73"/>
      <c r="Q966" s="73"/>
      <c r="R966" s="73"/>
      <c r="S966" s="73"/>
      <c r="T966" s="73"/>
      <c r="U966" s="73"/>
      <c r="V966" s="73"/>
      <c r="W966" s="73"/>
      <c r="X966" s="73"/>
      <c r="Y966" s="73"/>
      <c r="Z966" s="73"/>
    </row>
    <row r="967" spans="1:26" ht="18" customHeight="1" x14ac:dyDescent="0.2">
      <c r="A967" s="73"/>
      <c r="B967" s="73"/>
      <c r="C967" s="73"/>
      <c r="D967" s="73"/>
      <c r="E967" s="73"/>
      <c r="F967" s="73"/>
      <c r="G967" s="73"/>
      <c r="H967" s="73"/>
      <c r="I967" s="73"/>
      <c r="J967" s="73"/>
      <c r="K967" s="73"/>
      <c r="L967" s="73"/>
      <c r="M967" s="73"/>
      <c r="N967" s="73"/>
      <c r="O967" s="73"/>
      <c r="P967" s="73"/>
      <c r="Q967" s="73"/>
      <c r="R967" s="73"/>
      <c r="S967" s="73"/>
      <c r="T967" s="73"/>
      <c r="U967" s="73"/>
      <c r="V967" s="73"/>
      <c r="W967" s="73"/>
      <c r="X967" s="73"/>
      <c r="Y967" s="73"/>
      <c r="Z967" s="73"/>
    </row>
    <row r="968" spans="1:26" ht="18" customHeight="1" x14ac:dyDescent="0.2">
      <c r="A968" s="73"/>
      <c r="B968" s="73"/>
      <c r="C968" s="73"/>
      <c r="D968" s="73"/>
      <c r="E968" s="73"/>
      <c r="F968" s="73"/>
      <c r="G968" s="73"/>
      <c r="H968" s="73"/>
      <c r="I968" s="73"/>
      <c r="J968" s="73"/>
      <c r="K968" s="73"/>
      <c r="L968" s="73"/>
      <c r="M968" s="73"/>
      <c r="N968" s="73"/>
      <c r="O968" s="73"/>
      <c r="P968" s="73"/>
      <c r="Q968" s="73"/>
      <c r="R968" s="73"/>
      <c r="S968" s="73"/>
      <c r="T968" s="73"/>
      <c r="U968" s="73"/>
      <c r="V968" s="73"/>
      <c r="W968" s="73"/>
      <c r="X968" s="73"/>
      <c r="Y968" s="73"/>
      <c r="Z968" s="73"/>
    </row>
    <row r="969" spans="1:26" ht="18" customHeight="1" x14ac:dyDescent="0.2">
      <c r="A969" s="73"/>
      <c r="B969" s="73"/>
      <c r="C969" s="73"/>
      <c r="D969" s="73"/>
      <c r="E969" s="73"/>
      <c r="F969" s="73"/>
      <c r="G969" s="73"/>
      <c r="H969" s="73"/>
      <c r="I969" s="73"/>
      <c r="J969" s="73"/>
      <c r="K969" s="73"/>
      <c r="L969" s="73"/>
      <c r="M969" s="73"/>
      <c r="N969" s="73"/>
      <c r="O969" s="73"/>
      <c r="P969" s="73"/>
      <c r="Q969" s="73"/>
      <c r="R969" s="73"/>
      <c r="S969" s="73"/>
      <c r="T969" s="73"/>
      <c r="U969" s="73"/>
      <c r="V969" s="73"/>
      <c r="W969" s="73"/>
      <c r="X969" s="73"/>
      <c r="Y969" s="73"/>
      <c r="Z969" s="73"/>
    </row>
    <row r="970" spans="1:26" ht="18" customHeight="1" x14ac:dyDescent="0.2">
      <c r="A970" s="73"/>
      <c r="B970" s="73"/>
      <c r="C970" s="73"/>
      <c r="D970" s="73"/>
      <c r="E970" s="73"/>
      <c r="F970" s="73"/>
      <c r="G970" s="73"/>
      <c r="H970" s="73"/>
      <c r="I970" s="73"/>
      <c r="J970" s="73"/>
      <c r="K970" s="73"/>
      <c r="L970" s="73"/>
      <c r="M970" s="73"/>
      <c r="N970" s="73"/>
      <c r="O970" s="73"/>
      <c r="P970" s="73"/>
      <c r="Q970" s="73"/>
      <c r="R970" s="73"/>
      <c r="S970" s="73"/>
      <c r="T970" s="73"/>
      <c r="U970" s="73"/>
      <c r="V970" s="73"/>
      <c r="W970" s="73"/>
      <c r="X970" s="73"/>
      <c r="Y970" s="73"/>
      <c r="Z970" s="73"/>
    </row>
    <row r="971" spans="1:26" ht="18" customHeight="1" x14ac:dyDescent="0.2">
      <c r="A971" s="73"/>
      <c r="B971" s="73"/>
      <c r="C971" s="73"/>
      <c r="D971" s="73"/>
      <c r="E971" s="73"/>
      <c r="F971" s="73"/>
      <c r="G971" s="73"/>
      <c r="H971" s="73"/>
      <c r="I971" s="73"/>
      <c r="J971" s="73"/>
      <c r="K971" s="73"/>
      <c r="L971" s="73"/>
      <c r="M971" s="73"/>
      <c r="N971" s="73"/>
      <c r="O971" s="73"/>
      <c r="P971" s="73"/>
      <c r="Q971" s="73"/>
      <c r="R971" s="73"/>
      <c r="S971" s="73"/>
      <c r="T971" s="73"/>
      <c r="U971" s="73"/>
      <c r="V971" s="73"/>
      <c r="W971" s="73"/>
      <c r="X971" s="73"/>
      <c r="Y971" s="73"/>
      <c r="Z971" s="73"/>
    </row>
    <row r="972" spans="1:26" ht="18" customHeight="1" x14ac:dyDescent="0.2">
      <c r="A972" s="73"/>
      <c r="B972" s="73"/>
      <c r="C972" s="73"/>
      <c r="D972" s="73"/>
      <c r="E972" s="73"/>
      <c r="F972" s="73"/>
      <c r="G972" s="73"/>
      <c r="H972" s="73"/>
      <c r="I972" s="73"/>
      <c r="J972" s="73"/>
      <c r="K972" s="73"/>
      <c r="L972" s="73"/>
      <c r="M972" s="73"/>
      <c r="N972" s="73"/>
      <c r="O972" s="73"/>
      <c r="P972" s="73"/>
      <c r="Q972" s="73"/>
      <c r="R972" s="73"/>
      <c r="S972" s="73"/>
      <c r="T972" s="73"/>
      <c r="U972" s="73"/>
      <c r="V972" s="73"/>
      <c r="W972" s="73"/>
      <c r="X972" s="73"/>
      <c r="Y972" s="73"/>
      <c r="Z972" s="73"/>
    </row>
    <row r="973" spans="1:26" ht="18" customHeight="1" x14ac:dyDescent="0.2">
      <c r="A973" s="73"/>
      <c r="B973" s="73"/>
      <c r="C973" s="73"/>
      <c r="D973" s="73"/>
      <c r="E973" s="73"/>
      <c r="F973" s="73"/>
      <c r="G973" s="73"/>
      <c r="H973" s="73"/>
      <c r="I973" s="73"/>
      <c r="J973" s="73"/>
      <c r="K973" s="73"/>
      <c r="L973" s="73"/>
      <c r="M973" s="73"/>
      <c r="N973" s="73"/>
      <c r="O973" s="73"/>
      <c r="P973" s="73"/>
      <c r="Q973" s="73"/>
      <c r="R973" s="73"/>
      <c r="S973" s="73"/>
      <c r="T973" s="73"/>
      <c r="U973" s="73"/>
      <c r="V973" s="73"/>
      <c r="W973" s="73"/>
      <c r="X973" s="73"/>
      <c r="Y973" s="73"/>
      <c r="Z973" s="73"/>
    </row>
    <row r="974" spans="1:26" ht="18" customHeight="1" x14ac:dyDescent="0.2">
      <c r="A974" s="73"/>
      <c r="B974" s="73"/>
      <c r="C974" s="73"/>
      <c r="D974" s="73"/>
      <c r="E974" s="73"/>
      <c r="F974" s="73"/>
      <c r="G974" s="73"/>
      <c r="H974" s="73"/>
      <c r="I974" s="73"/>
      <c r="J974" s="73"/>
      <c r="K974" s="73"/>
      <c r="L974" s="73"/>
      <c r="M974" s="73"/>
      <c r="N974" s="73"/>
      <c r="O974" s="73"/>
      <c r="P974" s="73"/>
      <c r="Q974" s="73"/>
      <c r="R974" s="73"/>
      <c r="S974" s="73"/>
      <c r="T974" s="73"/>
      <c r="U974" s="73"/>
      <c r="V974" s="73"/>
      <c r="W974" s="73"/>
      <c r="X974" s="73"/>
      <c r="Y974" s="73"/>
      <c r="Z974" s="73"/>
    </row>
    <row r="975" spans="1:26" ht="18" customHeight="1" x14ac:dyDescent="0.2">
      <c r="A975" s="73"/>
      <c r="B975" s="73"/>
      <c r="C975" s="73"/>
      <c r="D975" s="73"/>
      <c r="E975" s="73"/>
      <c r="F975" s="73"/>
      <c r="G975" s="73"/>
      <c r="H975" s="73"/>
      <c r="I975" s="73"/>
      <c r="J975" s="73"/>
      <c r="K975" s="73"/>
      <c r="L975" s="73"/>
      <c r="M975" s="73"/>
      <c r="N975" s="73"/>
      <c r="O975" s="73"/>
      <c r="P975" s="73"/>
      <c r="Q975" s="73"/>
      <c r="R975" s="73"/>
      <c r="S975" s="73"/>
      <c r="T975" s="73"/>
      <c r="U975" s="73"/>
      <c r="V975" s="73"/>
      <c r="W975" s="73"/>
      <c r="X975" s="73"/>
      <c r="Y975" s="73"/>
      <c r="Z975" s="73"/>
    </row>
    <row r="976" spans="1:26" ht="18" customHeight="1" x14ac:dyDescent="0.2">
      <c r="A976" s="73"/>
      <c r="B976" s="73"/>
      <c r="C976" s="73"/>
      <c r="D976" s="73"/>
      <c r="E976" s="73"/>
      <c r="F976" s="73"/>
      <c r="G976" s="73"/>
      <c r="H976" s="73"/>
      <c r="I976" s="73"/>
      <c r="J976" s="73"/>
      <c r="K976" s="73"/>
      <c r="L976" s="73"/>
      <c r="M976" s="73"/>
      <c r="N976" s="73"/>
      <c r="O976" s="73"/>
      <c r="P976" s="73"/>
      <c r="Q976" s="73"/>
      <c r="R976" s="73"/>
      <c r="S976" s="73"/>
      <c r="T976" s="73"/>
      <c r="U976" s="73"/>
      <c r="V976" s="73"/>
      <c r="W976" s="73"/>
      <c r="X976" s="73"/>
      <c r="Y976" s="73"/>
      <c r="Z976" s="73"/>
    </row>
    <row r="977" spans="1:26" ht="18" customHeight="1" x14ac:dyDescent="0.2">
      <c r="A977" s="73"/>
      <c r="B977" s="73"/>
      <c r="C977" s="73"/>
      <c r="D977" s="73"/>
      <c r="E977" s="73"/>
      <c r="F977" s="73"/>
      <c r="G977" s="73"/>
      <c r="H977" s="73"/>
      <c r="I977" s="73"/>
      <c r="J977" s="73"/>
      <c r="K977" s="73"/>
      <c r="L977" s="73"/>
      <c r="M977" s="73"/>
      <c r="N977" s="73"/>
      <c r="O977" s="73"/>
      <c r="P977" s="73"/>
      <c r="Q977" s="73"/>
      <c r="R977" s="73"/>
      <c r="S977" s="73"/>
      <c r="T977" s="73"/>
      <c r="U977" s="73"/>
      <c r="V977" s="73"/>
      <c r="W977" s="73"/>
      <c r="X977" s="73"/>
      <c r="Y977" s="73"/>
      <c r="Z977" s="73"/>
    </row>
    <row r="978" spans="1:26" ht="18" customHeight="1" x14ac:dyDescent="0.2">
      <c r="A978" s="73"/>
      <c r="B978" s="73"/>
      <c r="C978" s="73"/>
      <c r="D978" s="73"/>
      <c r="E978" s="73"/>
      <c r="F978" s="73"/>
      <c r="G978" s="73"/>
      <c r="H978" s="73"/>
      <c r="I978" s="73"/>
      <c r="J978" s="73"/>
      <c r="K978" s="73"/>
      <c r="L978" s="73"/>
      <c r="M978" s="73"/>
      <c r="N978" s="73"/>
      <c r="O978" s="73"/>
      <c r="P978" s="73"/>
      <c r="Q978" s="73"/>
      <c r="R978" s="73"/>
      <c r="S978" s="73"/>
      <c r="T978" s="73"/>
      <c r="U978" s="73"/>
      <c r="V978" s="73"/>
      <c r="W978" s="73"/>
      <c r="X978" s="73"/>
      <c r="Y978" s="73"/>
      <c r="Z978" s="73"/>
    </row>
    <row r="979" spans="1:26" ht="18" customHeight="1" x14ac:dyDescent="0.2">
      <c r="A979" s="73"/>
      <c r="B979" s="73"/>
      <c r="C979" s="73"/>
      <c r="D979" s="73"/>
      <c r="E979" s="73"/>
      <c r="F979" s="73"/>
      <c r="G979" s="73"/>
      <c r="H979" s="73"/>
      <c r="I979" s="73"/>
      <c r="J979" s="73"/>
      <c r="K979" s="73"/>
      <c r="L979" s="73"/>
      <c r="M979" s="73"/>
      <c r="N979" s="73"/>
      <c r="O979" s="73"/>
      <c r="P979" s="73"/>
      <c r="Q979" s="73"/>
      <c r="R979" s="73"/>
      <c r="S979" s="73"/>
      <c r="T979" s="73"/>
      <c r="U979" s="73"/>
      <c r="V979" s="73"/>
      <c r="W979" s="73"/>
      <c r="X979" s="73"/>
      <c r="Y979" s="73"/>
      <c r="Z979" s="73"/>
    </row>
    <row r="980" spans="1:26" ht="18" customHeight="1" x14ac:dyDescent="0.2">
      <c r="A980" s="73"/>
      <c r="B980" s="73"/>
      <c r="C980" s="73"/>
      <c r="D980" s="73"/>
      <c r="E980" s="73"/>
      <c r="F980" s="73"/>
      <c r="G980" s="73"/>
      <c r="H980" s="73"/>
      <c r="I980" s="73"/>
      <c r="J980" s="73"/>
      <c r="K980" s="73"/>
      <c r="L980" s="73"/>
      <c r="M980" s="73"/>
      <c r="N980" s="73"/>
      <c r="O980" s="73"/>
      <c r="P980" s="73"/>
      <c r="Q980" s="73"/>
      <c r="R980" s="73"/>
      <c r="S980" s="73"/>
      <c r="T980" s="73"/>
      <c r="U980" s="73"/>
      <c r="V980" s="73"/>
      <c r="W980" s="73"/>
      <c r="X980" s="73"/>
      <c r="Y980" s="73"/>
      <c r="Z980" s="73"/>
    </row>
    <row r="981" spans="1:26" ht="18" customHeight="1" x14ac:dyDescent="0.2">
      <c r="A981" s="73"/>
      <c r="B981" s="73"/>
      <c r="C981" s="73"/>
      <c r="D981" s="73"/>
      <c r="E981" s="73"/>
      <c r="F981" s="73"/>
      <c r="G981" s="73"/>
      <c r="H981" s="73"/>
      <c r="I981" s="73"/>
      <c r="J981" s="73"/>
      <c r="K981" s="73"/>
      <c r="L981" s="73"/>
      <c r="M981" s="73"/>
      <c r="N981" s="73"/>
      <c r="O981" s="73"/>
      <c r="P981" s="73"/>
      <c r="Q981" s="73"/>
      <c r="R981" s="73"/>
      <c r="S981" s="73"/>
      <c r="T981" s="73"/>
      <c r="U981" s="73"/>
      <c r="V981" s="73"/>
      <c r="W981" s="73"/>
      <c r="X981" s="73"/>
      <c r="Y981" s="73"/>
      <c r="Z981" s="73"/>
    </row>
    <row r="982" spans="1:26" ht="18" customHeight="1" x14ac:dyDescent="0.2">
      <c r="A982" s="73"/>
      <c r="B982" s="73"/>
      <c r="C982" s="73"/>
      <c r="D982" s="73"/>
      <c r="E982" s="73"/>
      <c r="F982" s="73"/>
      <c r="G982" s="73"/>
      <c r="H982" s="73"/>
      <c r="I982" s="73"/>
      <c r="J982" s="73"/>
      <c r="K982" s="73"/>
      <c r="L982" s="73"/>
      <c r="M982" s="73"/>
      <c r="N982" s="73"/>
      <c r="O982" s="73"/>
      <c r="P982" s="73"/>
      <c r="Q982" s="73"/>
      <c r="R982" s="73"/>
      <c r="S982" s="73"/>
      <c r="T982" s="73"/>
      <c r="U982" s="73"/>
      <c r="V982" s="73"/>
      <c r="W982" s="73"/>
      <c r="X982" s="73"/>
      <c r="Y982" s="73"/>
      <c r="Z982" s="73"/>
    </row>
    <row r="983" spans="1:26" ht="18" customHeight="1" x14ac:dyDescent="0.2">
      <c r="A983" s="73"/>
      <c r="B983" s="73"/>
      <c r="C983" s="73"/>
      <c r="D983" s="73"/>
      <c r="E983" s="73"/>
      <c r="F983" s="73"/>
      <c r="G983" s="73"/>
      <c r="H983" s="73"/>
      <c r="I983" s="73"/>
      <c r="J983" s="73"/>
      <c r="K983" s="73"/>
      <c r="L983" s="73"/>
      <c r="M983" s="73"/>
      <c r="N983" s="73"/>
      <c r="O983" s="73"/>
      <c r="P983" s="73"/>
      <c r="Q983" s="73"/>
      <c r="R983" s="73"/>
      <c r="S983" s="73"/>
      <c r="T983" s="73"/>
      <c r="U983" s="73"/>
      <c r="V983" s="73"/>
      <c r="W983" s="73"/>
      <c r="X983" s="73"/>
      <c r="Y983" s="73"/>
      <c r="Z983" s="73"/>
    </row>
    <row r="984" spans="1:26" ht="18" customHeight="1" x14ac:dyDescent="0.2">
      <c r="A984" s="73"/>
      <c r="B984" s="73"/>
      <c r="C984" s="73"/>
      <c r="D984" s="73"/>
      <c r="E984" s="73"/>
      <c r="F984" s="73"/>
      <c r="G984" s="73"/>
      <c r="H984" s="73"/>
      <c r="I984" s="73"/>
      <c r="J984" s="73"/>
      <c r="K984" s="73"/>
      <c r="L984" s="73"/>
      <c r="M984" s="73"/>
      <c r="N984" s="73"/>
      <c r="O984" s="73"/>
      <c r="P984" s="73"/>
      <c r="Q984" s="73"/>
      <c r="R984" s="73"/>
      <c r="S984" s="73"/>
      <c r="T984" s="73"/>
      <c r="U984" s="73"/>
      <c r="V984" s="73"/>
      <c r="W984" s="73"/>
      <c r="X984" s="73"/>
      <c r="Y984" s="73"/>
      <c r="Z984" s="73"/>
    </row>
    <row r="985" spans="1:26" ht="18" customHeight="1" x14ac:dyDescent="0.2">
      <c r="A985" s="73"/>
      <c r="B985" s="73"/>
      <c r="C985" s="73"/>
      <c r="D985" s="73"/>
      <c r="E985" s="73"/>
      <c r="F985" s="73"/>
      <c r="G985" s="73"/>
      <c r="H985" s="73"/>
      <c r="I985" s="73"/>
      <c r="J985" s="73"/>
      <c r="K985" s="73"/>
      <c r="L985" s="73"/>
      <c r="M985" s="73"/>
      <c r="N985" s="73"/>
      <c r="O985" s="73"/>
      <c r="P985" s="73"/>
      <c r="Q985" s="73"/>
      <c r="R985" s="73"/>
      <c r="S985" s="73"/>
      <c r="T985" s="73"/>
      <c r="U985" s="73"/>
      <c r="V985" s="73"/>
      <c r="W985" s="73"/>
      <c r="X985" s="73"/>
      <c r="Y985" s="73"/>
      <c r="Z985" s="73"/>
    </row>
    <row r="986" spans="1:26" ht="18" customHeight="1" x14ac:dyDescent="0.2">
      <c r="A986" s="73"/>
      <c r="B986" s="73"/>
      <c r="C986" s="73"/>
      <c r="D986" s="73"/>
      <c r="E986" s="73"/>
      <c r="F986" s="73"/>
      <c r="G986" s="73"/>
      <c r="H986" s="73"/>
      <c r="I986" s="73"/>
      <c r="J986" s="73"/>
      <c r="K986" s="73"/>
      <c r="L986" s="73"/>
      <c r="M986" s="73"/>
      <c r="N986" s="73"/>
      <c r="O986" s="73"/>
      <c r="P986" s="73"/>
      <c r="Q986" s="73"/>
      <c r="R986" s="73"/>
      <c r="S986" s="73"/>
      <c r="T986" s="73"/>
      <c r="U986" s="73"/>
      <c r="V986" s="73"/>
      <c r="W986" s="73"/>
      <c r="X986" s="73"/>
      <c r="Y986" s="73"/>
      <c r="Z986" s="73"/>
    </row>
    <row r="987" spans="1:26" ht="18" customHeight="1" x14ac:dyDescent="0.2">
      <c r="A987" s="73"/>
      <c r="B987" s="73"/>
      <c r="C987" s="73"/>
      <c r="D987" s="73"/>
      <c r="E987" s="73"/>
      <c r="F987" s="73"/>
      <c r="G987" s="73"/>
      <c r="H987" s="73"/>
      <c r="I987" s="73"/>
      <c r="J987" s="73"/>
      <c r="K987" s="73"/>
      <c r="L987" s="73"/>
      <c r="M987" s="73"/>
      <c r="N987" s="73"/>
      <c r="O987" s="73"/>
      <c r="P987" s="73"/>
      <c r="Q987" s="73"/>
      <c r="R987" s="73"/>
      <c r="S987" s="73"/>
      <c r="T987" s="73"/>
      <c r="U987" s="73"/>
      <c r="V987" s="73"/>
      <c r="W987" s="73"/>
      <c r="X987" s="73"/>
      <c r="Y987" s="73"/>
      <c r="Z987" s="73"/>
    </row>
    <row r="988" spans="1:26" ht="18" customHeight="1" x14ac:dyDescent="0.2">
      <c r="A988" s="73"/>
      <c r="B988" s="73"/>
      <c r="C988" s="73"/>
      <c r="D988" s="73"/>
      <c r="E988" s="73"/>
      <c r="F988" s="73"/>
      <c r="G988" s="73"/>
      <c r="H988" s="73"/>
      <c r="I988" s="73"/>
      <c r="J988" s="73"/>
      <c r="K988" s="73"/>
      <c r="L988" s="73"/>
      <c r="M988" s="73"/>
      <c r="N988" s="73"/>
      <c r="O988" s="73"/>
      <c r="P988" s="73"/>
      <c r="Q988" s="73"/>
      <c r="R988" s="73"/>
      <c r="S988" s="73"/>
      <c r="T988" s="73"/>
      <c r="U988" s="73"/>
      <c r="V988" s="73"/>
      <c r="W988" s="73"/>
      <c r="X988" s="73"/>
      <c r="Y988" s="73"/>
      <c r="Z988" s="73"/>
    </row>
    <row r="989" spans="1:26" ht="18" customHeight="1" x14ac:dyDescent="0.2">
      <c r="A989" s="73"/>
      <c r="B989" s="73"/>
      <c r="C989" s="73"/>
      <c r="D989" s="73"/>
      <c r="E989" s="73"/>
      <c r="F989" s="73"/>
      <c r="G989" s="73"/>
      <c r="H989" s="73"/>
      <c r="I989" s="73"/>
      <c r="J989" s="73"/>
      <c r="K989" s="73"/>
      <c r="L989" s="73"/>
      <c r="M989" s="73"/>
      <c r="N989" s="73"/>
      <c r="O989" s="73"/>
      <c r="P989" s="73"/>
      <c r="Q989" s="73"/>
      <c r="R989" s="73"/>
      <c r="S989" s="73"/>
      <c r="T989" s="73"/>
      <c r="U989" s="73"/>
      <c r="V989" s="73"/>
      <c r="W989" s="73"/>
      <c r="X989" s="73"/>
      <c r="Y989" s="73"/>
      <c r="Z989" s="73"/>
    </row>
    <row r="990" spans="1:26" ht="18" customHeight="1" x14ac:dyDescent="0.2">
      <c r="A990" s="73"/>
      <c r="B990" s="73"/>
      <c r="C990" s="73"/>
      <c r="D990" s="73"/>
      <c r="E990" s="73"/>
      <c r="F990" s="73"/>
      <c r="G990" s="73"/>
      <c r="H990" s="73"/>
      <c r="I990" s="73"/>
      <c r="J990" s="73"/>
      <c r="K990" s="73"/>
      <c r="L990" s="73"/>
      <c r="M990" s="73"/>
      <c r="N990" s="73"/>
      <c r="O990" s="73"/>
      <c r="P990" s="73"/>
      <c r="Q990" s="73"/>
      <c r="R990" s="73"/>
      <c r="S990" s="73"/>
      <c r="T990" s="73"/>
      <c r="U990" s="73"/>
      <c r="V990" s="73"/>
      <c r="W990" s="73"/>
      <c r="X990" s="73"/>
      <c r="Y990" s="73"/>
      <c r="Z990" s="73"/>
    </row>
    <row r="991" spans="1:26" ht="18" customHeight="1" x14ac:dyDescent="0.2">
      <c r="A991" s="73"/>
      <c r="B991" s="73"/>
      <c r="C991" s="73"/>
      <c r="D991" s="73"/>
      <c r="E991" s="73"/>
      <c r="F991" s="73"/>
      <c r="G991" s="73"/>
      <c r="H991" s="73"/>
      <c r="I991" s="73"/>
      <c r="J991" s="73"/>
      <c r="K991" s="73"/>
      <c r="L991" s="73"/>
      <c r="M991" s="73"/>
      <c r="N991" s="73"/>
      <c r="O991" s="73"/>
      <c r="P991" s="73"/>
      <c r="Q991" s="73"/>
      <c r="R991" s="73"/>
      <c r="S991" s="73"/>
      <c r="T991" s="73"/>
      <c r="U991" s="73"/>
      <c r="V991" s="73"/>
      <c r="W991" s="73"/>
      <c r="X991" s="73"/>
      <c r="Y991" s="73"/>
      <c r="Z991" s="73"/>
    </row>
    <row r="992" spans="1:26" ht="18" customHeight="1" x14ac:dyDescent="0.2">
      <c r="A992" s="73"/>
      <c r="B992" s="73"/>
      <c r="C992" s="73"/>
      <c r="D992" s="73"/>
      <c r="E992" s="73"/>
      <c r="F992" s="73"/>
      <c r="G992" s="73"/>
      <c r="H992" s="73"/>
      <c r="I992" s="73"/>
      <c r="J992" s="73"/>
      <c r="K992" s="73"/>
      <c r="L992" s="73"/>
      <c r="M992" s="73"/>
      <c r="N992" s="73"/>
      <c r="O992" s="73"/>
      <c r="P992" s="73"/>
      <c r="Q992" s="73"/>
      <c r="R992" s="73"/>
      <c r="S992" s="73"/>
      <c r="T992" s="73"/>
      <c r="U992" s="73"/>
      <c r="V992" s="73"/>
      <c r="W992" s="73"/>
      <c r="X992" s="73"/>
      <c r="Y992" s="73"/>
      <c r="Z992" s="73"/>
    </row>
    <row r="993" spans="1:26" ht="18" customHeight="1" x14ac:dyDescent="0.2">
      <c r="A993" s="73"/>
      <c r="B993" s="73"/>
      <c r="C993" s="73"/>
      <c r="D993" s="73"/>
      <c r="E993" s="73"/>
      <c r="F993" s="73"/>
      <c r="G993" s="73"/>
      <c r="H993" s="73"/>
      <c r="I993" s="73"/>
      <c r="J993" s="73"/>
      <c r="K993" s="73"/>
      <c r="L993" s="73"/>
      <c r="M993" s="73"/>
      <c r="N993" s="73"/>
      <c r="O993" s="73"/>
      <c r="P993" s="73"/>
      <c r="Q993" s="73"/>
      <c r="R993" s="73"/>
      <c r="S993" s="73"/>
      <c r="T993" s="73"/>
      <c r="U993" s="73"/>
      <c r="V993" s="73"/>
      <c r="W993" s="73"/>
      <c r="X993" s="73"/>
      <c r="Y993" s="73"/>
      <c r="Z993" s="73"/>
    </row>
    <row r="994" spans="1:26" ht="18" customHeight="1" x14ac:dyDescent="0.2">
      <c r="A994" s="73"/>
      <c r="B994" s="73"/>
      <c r="C994" s="73"/>
      <c r="D994" s="73"/>
      <c r="E994" s="73"/>
      <c r="F994" s="73"/>
      <c r="G994" s="73"/>
      <c r="H994" s="73"/>
      <c r="I994" s="73"/>
      <c r="J994" s="73"/>
      <c r="K994" s="73"/>
      <c r="L994" s="73"/>
      <c r="M994" s="73"/>
      <c r="N994" s="73"/>
      <c r="O994" s="73"/>
      <c r="P994" s="73"/>
      <c r="Q994" s="73"/>
      <c r="R994" s="73"/>
      <c r="S994" s="73"/>
      <c r="T994" s="73"/>
      <c r="U994" s="73"/>
      <c r="V994" s="73"/>
      <c r="W994" s="73"/>
      <c r="X994" s="73"/>
      <c r="Y994" s="73"/>
      <c r="Z994" s="73"/>
    </row>
    <row r="995" spans="1:26" ht="18" customHeight="1" x14ac:dyDescent="0.2">
      <c r="A995" s="73"/>
      <c r="B995" s="73"/>
      <c r="C995" s="73"/>
      <c r="D995" s="73"/>
      <c r="E995" s="73"/>
      <c r="F995" s="73"/>
      <c r="G995" s="73"/>
      <c r="H995" s="73"/>
      <c r="I995" s="73"/>
      <c r="J995" s="73"/>
      <c r="K995" s="73"/>
      <c r="L995" s="73"/>
      <c r="M995" s="73"/>
      <c r="N995" s="73"/>
      <c r="O995" s="73"/>
      <c r="P995" s="73"/>
      <c r="Q995" s="73"/>
      <c r="R995" s="73"/>
      <c r="S995" s="73"/>
      <c r="T995" s="73"/>
      <c r="U995" s="73"/>
      <c r="V995" s="73"/>
      <c r="W995" s="73"/>
      <c r="X995" s="73"/>
      <c r="Y995" s="73"/>
      <c r="Z995" s="73"/>
    </row>
    <row r="996" spans="1:26" ht="18" customHeight="1" x14ac:dyDescent="0.2">
      <c r="A996" s="73"/>
      <c r="B996" s="73"/>
      <c r="C996" s="73"/>
      <c r="D996" s="73"/>
      <c r="E996" s="73"/>
      <c r="F996" s="73"/>
      <c r="G996" s="73"/>
      <c r="H996" s="73"/>
      <c r="I996" s="73"/>
      <c r="J996" s="73"/>
      <c r="K996" s="73"/>
      <c r="L996" s="73"/>
      <c r="M996" s="73"/>
      <c r="N996" s="73"/>
      <c r="O996" s="73"/>
      <c r="P996" s="73"/>
      <c r="Q996" s="73"/>
      <c r="R996" s="73"/>
      <c r="S996" s="73"/>
      <c r="T996" s="73"/>
      <c r="U996" s="73"/>
      <c r="V996" s="73"/>
      <c r="W996" s="73"/>
      <c r="X996" s="73"/>
      <c r="Y996" s="73"/>
      <c r="Z996" s="73"/>
    </row>
    <row r="997" spans="1:26" ht="18" customHeight="1" x14ac:dyDescent="0.2">
      <c r="A997" s="73"/>
      <c r="B997" s="73"/>
      <c r="C997" s="73"/>
      <c r="D997" s="73"/>
      <c r="E997" s="73"/>
      <c r="F997" s="73"/>
      <c r="G997" s="73"/>
      <c r="H997" s="73"/>
      <c r="I997" s="73"/>
      <c r="J997" s="73"/>
      <c r="K997" s="73"/>
      <c r="L997" s="73"/>
      <c r="M997" s="73"/>
      <c r="N997" s="73"/>
      <c r="O997" s="73"/>
      <c r="P997" s="73"/>
      <c r="Q997" s="73"/>
      <c r="R997" s="73"/>
      <c r="S997" s="73"/>
      <c r="T997" s="73"/>
      <c r="U997" s="73"/>
      <c r="V997" s="73"/>
      <c r="W997" s="73"/>
      <c r="X997" s="73"/>
      <c r="Y997" s="73"/>
      <c r="Z997" s="73"/>
    </row>
    <row r="998" spans="1:26" ht="18" customHeight="1" x14ac:dyDescent="0.2">
      <c r="A998" s="73"/>
      <c r="B998" s="73"/>
      <c r="C998" s="73"/>
      <c r="D998" s="73"/>
      <c r="E998" s="73"/>
      <c r="F998" s="73"/>
      <c r="G998" s="73"/>
      <c r="H998" s="73"/>
      <c r="I998" s="73"/>
      <c r="J998" s="73"/>
      <c r="K998" s="73"/>
      <c r="L998" s="73"/>
      <c r="M998" s="73"/>
      <c r="N998" s="73"/>
      <c r="O998" s="73"/>
      <c r="P998" s="73"/>
      <c r="Q998" s="73"/>
      <c r="R998" s="73"/>
      <c r="S998" s="73"/>
      <c r="T998" s="73"/>
      <c r="U998" s="73"/>
      <c r="V998" s="73"/>
      <c r="W998" s="73"/>
      <c r="X998" s="73"/>
      <c r="Y998" s="73"/>
      <c r="Z998" s="73"/>
    </row>
    <row r="999" spans="1:26" ht="18" customHeight="1" x14ac:dyDescent="0.2">
      <c r="A999" s="73"/>
      <c r="B999" s="73"/>
      <c r="C999" s="73"/>
      <c r="D999" s="73"/>
      <c r="E999" s="73"/>
      <c r="F999" s="73"/>
      <c r="G999" s="73"/>
      <c r="H999" s="73"/>
      <c r="I999" s="73"/>
      <c r="J999" s="73"/>
      <c r="K999" s="73"/>
      <c r="L999" s="73"/>
      <c r="M999" s="73"/>
      <c r="N999" s="73"/>
      <c r="O999" s="73"/>
      <c r="P999" s="73"/>
      <c r="Q999" s="73"/>
      <c r="R999" s="73"/>
      <c r="S999" s="73"/>
      <c r="T999" s="73"/>
      <c r="U999" s="73"/>
      <c r="V999" s="73"/>
      <c r="W999" s="73"/>
      <c r="X999" s="73"/>
      <c r="Y999" s="73"/>
      <c r="Z999" s="73"/>
    </row>
    <row r="1000" spans="1:26" ht="18" customHeight="1" x14ac:dyDescent="0.2">
      <c r="A1000" s="73"/>
      <c r="B1000" s="73"/>
      <c r="C1000" s="73"/>
      <c r="D1000" s="73"/>
      <c r="E1000" s="73"/>
      <c r="F1000" s="73"/>
      <c r="G1000" s="73"/>
      <c r="H1000" s="73"/>
      <c r="I1000" s="73"/>
      <c r="J1000" s="73"/>
      <c r="K1000" s="73"/>
      <c r="L1000" s="73"/>
      <c r="M1000" s="73"/>
      <c r="N1000" s="73"/>
      <c r="O1000" s="73"/>
      <c r="P1000" s="73"/>
      <c r="Q1000" s="73"/>
      <c r="R1000" s="73"/>
      <c r="S1000" s="73"/>
      <c r="T1000" s="73"/>
      <c r="U1000" s="73"/>
      <c r="V1000" s="73"/>
      <c r="W1000" s="73"/>
      <c r="X1000" s="73"/>
      <c r="Y1000" s="73"/>
      <c r="Z1000" s="73"/>
    </row>
  </sheetData>
  <mergeCells count="4">
    <mergeCell ref="A1:H1"/>
    <mergeCell ref="A2:H2"/>
    <mergeCell ref="B3:H3"/>
    <mergeCell ref="A4:H4"/>
  </mergeCells>
  <pageMargins left="0.75" right="0.75" top="1" bottom="1" header="0" footer="0"/>
  <pageSetup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1000"/>
  <sheetViews>
    <sheetView workbookViewId="0">
      <selection activeCell="B47" sqref="B47"/>
    </sheetView>
  </sheetViews>
  <sheetFormatPr baseColWidth="10" defaultColWidth="12.5" defaultRowHeight="15" customHeight="1" x14ac:dyDescent="0.15"/>
  <cols>
    <col min="1" max="1" width="31" customWidth="1"/>
    <col min="2" max="3" width="15.1640625" customWidth="1"/>
    <col min="4" max="4" width="7.33203125" customWidth="1"/>
    <col min="5" max="5" width="15.33203125" customWidth="1"/>
    <col min="6" max="26" width="7.5" customWidth="1"/>
  </cols>
  <sheetData>
    <row r="1" spans="1:5" ht="14.25" customHeight="1" x14ac:dyDescent="0.2">
      <c r="A1" s="207" t="s">
        <v>190</v>
      </c>
      <c r="B1" s="201"/>
      <c r="C1" s="201"/>
      <c r="D1" s="201"/>
      <c r="E1" s="201"/>
    </row>
    <row r="2" spans="1:5" ht="14.25" customHeight="1" x14ac:dyDescent="0.2">
      <c r="B2" s="115" t="s">
        <v>191</v>
      </c>
      <c r="C2" s="115" t="s">
        <v>192</v>
      </c>
      <c r="D2" s="18" t="s">
        <v>193</v>
      </c>
      <c r="E2" s="18" t="s">
        <v>194</v>
      </c>
    </row>
    <row r="3" spans="1:5" ht="14.25" customHeight="1" x14ac:dyDescent="0.2">
      <c r="C3" s="118">
        <f>'Cash Flow'!L7</f>
        <v>44287</v>
      </c>
    </row>
    <row r="4" spans="1:5" ht="14.25" customHeight="1" x14ac:dyDescent="0.2">
      <c r="A4" s="2" t="s">
        <v>105</v>
      </c>
      <c r="B4" s="119">
        <f>'Cash Flow'!D10</f>
        <v>318</v>
      </c>
      <c r="C4" s="119">
        <f>B4</f>
        <v>318</v>
      </c>
    </row>
    <row r="5" spans="1:5" ht="14.25" customHeight="1" x14ac:dyDescent="0.2">
      <c r="B5" s="12"/>
    </row>
    <row r="6" spans="1:5" ht="14.25" customHeight="1" x14ac:dyDescent="0.2">
      <c r="A6" s="120" t="s">
        <v>107</v>
      </c>
    </row>
    <row r="7" spans="1:5" ht="14.25" customHeight="1" x14ac:dyDescent="0.2">
      <c r="A7" s="2" t="s">
        <v>197</v>
      </c>
      <c r="B7" s="121">
        <f>SUM('Cash Flow'!D13:D15)+'Cash Flow'!D20</f>
        <v>5246742</v>
      </c>
      <c r="C7" s="58">
        <f ca="1">SUM('Cash Flow'!F13:F15)+'Cash Flow'!F20</f>
        <v>5305636.83</v>
      </c>
      <c r="D7" s="122">
        <f ca="1">C7/B7</f>
        <v>1.0112250287892943</v>
      </c>
      <c r="E7" s="58">
        <f ca="1">B7-C7</f>
        <v>-58894.830000000075</v>
      </c>
    </row>
    <row r="8" spans="1:5" ht="14.25" customHeight="1" x14ac:dyDescent="0.2">
      <c r="A8" s="2" t="s">
        <v>200</v>
      </c>
      <c r="B8" s="121">
        <f>'Cash Flow'!D18+'Cash Flow'!D23</f>
        <v>170117</v>
      </c>
      <c r="C8" s="58">
        <f ca="1">'Cash Flow'!F18+'Cash Flow'!F23+'Cash Flow'!F16</f>
        <v>170117</v>
      </c>
      <c r="D8" s="122">
        <f ca="1">C8/B8</f>
        <v>1</v>
      </c>
      <c r="E8" s="58">
        <f ca="1">B8-C8</f>
        <v>0</v>
      </c>
    </row>
    <row r="9" spans="1:5" ht="14.25" customHeight="1" x14ac:dyDescent="0.2">
      <c r="A9" s="2" t="s">
        <v>201</v>
      </c>
      <c r="B9" s="121">
        <f>'Cash Flow'!D22+'Cash Flow'!D21</f>
        <v>1034697</v>
      </c>
      <c r="C9" s="58">
        <f ca="1">'Cash Flow'!F22+'Cash Flow'!F21</f>
        <v>1012032.8300000001</v>
      </c>
      <c r="D9" s="122">
        <f ca="1">C9/B9</f>
        <v>0.97809583868514172</v>
      </c>
      <c r="E9" s="58">
        <f ca="1">B9-C9</f>
        <v>22664.169999999925</v>
      </c>
    </row>
    <row r="10" spans="1:5" ht="14.25" customHeight="1" x14ac:dyDescent="0.2">
      <c r="B10" s="121"/>
      <c r="D10" s="122"/>
      <c r="E10" s="58">
        <f>B10-C10</f>
        <v>0</v>
      </c>
    </row>
    <row r="11" spans="1:5" ht="14.25" customHeight="1" x14ac:dyDescent="0.2">
      <c r="A11" s="2" t="s">
        <v>205</v>
      </c>
      <c r="B11" s="121">
        <f>'Cash Flow'!D24</f>
        <v>150000</v>
      </c>
      <c r="C11" s="58">
        <f ca="1">'Cash Flow'!F24</f>
        <v>131550</v>
      </c>
      <c r="D11" s="122">
        <f ca="1">C11/B11</f>
        <v>0.877</v>
      </c>
      <c r="E11" s="58">
        <f ca="1">B11-C11</f>
        <v>18450</v>
      </c>
    </row>
    <row r="12" spans="1:5" ht="14.25" customHeight="1" x14ac:dyDescent="0.2">
      <c r="B12" s="121"/>
      <c r="D12" s="122"/>
      <c r="E12" s="58"/>
    </row>
    <row r="13" spans="1:5" ht="14.25" customHeight="1" x14ac:dyDescent="0.2">
      <c r="A13" s="2" t="s">
        <v>207</v>
      </c>
      <c r="B13" s="121">
        <f>'Cash Flow'!D25</f>
        <v>10931</v>
      </c>
      <c r="C13" s="58">
        <f ca="1">'Cash Flow'!F25</f>
        <v>0</v>
      </c>
      <c r="D13" s="122">
        <f ca="1">C13/B13</f>
        <v>0</v>
      </c>
      <c r="E13" s="58">
        <f ca="1">B13-C13</f>
        <v>10931</v>
      </c>
    </row>
    <row r="14" spans="1:5" ht="14.25" customHeight="1" x14ac:dyDescent="0.2">
      <c r="B14" s="123"/>
      <c r="C14" s="123"/>
      <c r="D14" s="123"/>
      <c r="E14" s="58"/>
    </row>
    <row r="15" spans="1:5" ht="14.25" customHeight="1" x14ac:dyDescent="0.2">
      <c r="A15" s="17" t="s">
        <v>209</v>
      </c>
      <c r="B15" s="121">
        <f>SUM(B7:B14)</f>
        <v>6612487</v>
      </c>
      <c r="C15" s="121">
        <f ca="1">SUM(C7:C14)</f>
        <v>6619336.6600000001</v>
      </c>
      <c r="D15" s="122">
        <f ca="1">C15/B15</f>
        <v>1.0010358674429152</v>
      </c>
      <c r="E15" s="58">
        <f ca="1">B15-C15</f>
        <v>-6849.660000000149</v>
      </c>
    </row>
    <row r="16" spans="1:5" ht="14.25" customHeight="1" x14ac:dyDescent="0.2">
      <c r="B16" s="121"/>
      <c r="C16" s="58"/>
    </row>
    <row r="17" spans="1:5" ht="14.25" customHeight="1" x14ac:dyDescent="0.2">
      <c r="A17" s="120" t="s">
        <v>212</v>
      </c>
      <c r="B17" s="121"/>
    </row>
    <row r="18" spans="1:5" ht="14.25" customHeight="1" x14ac:dyDescent="0.2">
      <c r="A18" s="2" t="s">
        <v>213</v>
      </c>
      <c r="B18" s="121"/>
    </row>
    <row r="19" spans="1:5" ht="14.25" customHeight="1" x14ac:dyDescent="0.2">
      <c r="A19" s="2" t="s">
        <v>214</v>
      </c>
      <c r="B19" s="121">
        <f>'Cash Flow'!D39</f>
        <v>2655907</v>
      </c>
      <c r="C19" s="58">
        <f ca="1">'Cash Flow'!F39</f>
        <v>2312184.79</v>
      </c>
      <c r="D19" s="122">
        <f ca="1">C19/B19</f>
        <v>0.87058198573971157</v>
      </c>
      <c r="E19" s="58">
        <f ca="1">B19-C19</f>
        <v>343722.20999999996</v>
      </c>
    </row>
    <row r="20" spans="1:5" ht="14.25" customHeight="1" x14ac:dyDescent="0.2">
      <c r="A20" s="2" t="s">
        <v>216</v>
      </c>
      <c r="B20" s="121">
        <f>SUM('Cash Flow'!D43:D46)</f>
        <v>247264.9417</v>
      </c>
      <c r="C20" s="58">
        <f ca="1">SUM('Cash Flow'!F43:F46)</f>
        <v>210864.38999999998</v>
      </c>
      <c r="D20" s="122">
        <f ca="1">C20/B20</f>
        <v>0.85278725140030631</v>
      </c>
      <c r="E20" s="58">
        <f ca="1">B20-C20</f>
        <v>36400.551700000011</v>
      </c>
    </row>
    <row r="21" spans="1:5" ht="14.25" customHeight="1" x14ac:dyDescent="0.2">
      <c r="A21" s="2" t="s">
        <v>218</v>
      </c>
      <c r="B21" s="121">
        <f>'Cash Flow'!D42</f>
        <v>422380</v>
      </c>
      <c r="C21" s="58">
        <f ca="1">'Cash Flow'!F42</f>
        <v>364670.41000000003</v>
      </c>
      <c r="D21" s="122">
        <f ca="1">C21/B21</f>
        <v>0.86337044841138322</v>
      </c>
      <c r="E21" s="58">
        <f ca="1">B21-C21</f>
        <v>57709.589999999967</v>
      </c>
    </row>
    <row r="22" spans="1:5" ht="14.25" customHeight="1" x14ac:dyDescent="0.2">
      <c r="A22" s="2" t="s">
        <v>220</v>
      </c>
      <c r="B22" s="123">
        <f>'Cash Flow'!D41</f>
        <v>609530.65650000004</v>
      </c>
      <c r="C22" s="124">
        <f ca="1">'Cash Flow'!F41</f>
        <v>524449.74000000011</v>
      </c>
      <c r="D22" s="126">
        <f ca="1">C22/B22</f>
        <v>0.8604156893624596</v>
      </c>
      <c r="E22" s="124">
        <f ca="1">B22-C22</f>
        <v>85080.916499999934</v>
      </c>
    </row>
    <row r="23" spans="1:5" ht="14.25" customHeight="1" x14ac:dyDescent="0.2">
      <c r="A23" s="128" t="s">
        <v>221</v>
      </c>
      <c r="B23" s="121">
        <f>SUM(B19:B22)</f>
        <v>3935082.5981999999</v>
      </c>
      <c r="C23" s="58">
        <f ca="1">SUM(C19:C22)</f>
        <v>3412169.3300000005</v>
      </c>
      <c r="D23" s="122">
        <f ca="1">C23/B23</f>
        <v>0.86711504646962367</v>
      </c>
      <c r="E23" s="58">
        <f ca="1">B23-C23</f>
        <v>522913.26819999935</v>
      </c>
    </row>
    <row r="24" spans="1:5" ht="14.25" customHeight="1" x14ac:dyDescent="0.2">
      <c r="B24" s="121"/>
      <c r="C24" s="58"/>
      <c r="D24" s="122"/>
      <c r="E24" s="58"/>
    </row>
    <row r="25" spans="1:5" ht="14.25" customHeight="1" x14ac:dyDescent="0.2">
      <c r="A25" s="2" t="s">
        <v>224</v>
      </c>
      <c r="B25" s="121"/>
      <c r="D25" s="122"/>
      <c r="E25" s="58"/>
    </row>
    <row r="26" spans="1:5" ht="14.25" customHeight="1" x14ac:dyDescent="0.2">
      <c r="A26" s="2" t="s">
        <v>226</v>
      </c>
      <c r="B26" s="121">
        <f>SUM('Cash Flow'!D51:D57)+'Cash Flow'!D61</f>
        <v>752010</v>
      </c>
      <c r="C26" s="58">
        <f ca="1">SUM('Cash Flow'!F51:F57)+'Cash Flow'!F61</f>
        <v>535957.01</v>
      </c>
      <c r="D26" s="122">
        <f t="shared" ref="D26:D31" ca="1" si="0">C26/B26</f>
        <v>0.7126993125091422</v>
      </c>
      <c r="E26" s="58">
        <f t="shared" ref="E26:E31" ca="1" si="1">B26-C26</f>
        <v>216052.99</v>
      </c>
    </row>
    <row r="27" spans="1:5" ht="14.25" customHeight="1" x14ac:dyDescent="0.2">
      <c r="A27" s="2" t="s">
        <v>227</v>
      </c>
      <c r="B27" s="121">
        <f>'Cash Flow'!D58+SUM('Cash Flow'!D67:D77)+SUM('Cash Flow'!D80:D93)+'Cash Flow'!D49+'Cash Flow'!D62+'Cash Flow'!D60</f>
        <v>1238823</v>
      </c>
      <c r="C27" s="58">
        <f ca="1">'Cash Flow'!F58+SUM('Cash Flow'!F67:F77)+SUM('Cash Flow'!F80:F93)+'Cash Flow'!F49+'Cash Flow'!F62+'Cash Flow'!F60</f>
        <v>680120.29</v>
      </c>
      <c r="D27" s="122">
        <f t="shared" ca="1" si="0"/>
        <v>0.54900521704876326</v>
      </c>
      <c r="E27" s="58">
        <f t="shared" ca="1" si="1"/>
        <v>558702.71</v>
      </c>
    </row>
    <row r="28" spans="1:5" ht="14.25" customHeight="1" x14ac:dyDescent="0.2">
      <c r="A28" s="2" t="s">
        <v>228</v>
      </c>
      <c r="B28" s="121">
        <f>'Cash Flow'!D59+'Cash Flow'!D64+'Cash Flow'!D65+'Cash Flow'!D66</f>
        <v>954331.04</v>
      </c>
      <c r="C28" s="58">
        <f ca="1">'Cash Flow'!F59+'Cash Flow'!F64+'Cash Flow'!F65+'Cash Flow'!F66</f>
        <v>879126.71999999986</v>
      </c>
      <c r="D28" s="122">
        <f t="shared" ca="1" si="0"/>
        <v>0.92119682075938747</v>
      </c>
      <c r="E28" s="58">
        <f t="shared" ca="1" si="1"/>
        <v>75204.320000000182</v>
      </c>
    </row>
    <row r="29" spans="1:5" ht="14.25" customHeight="1" x14ac:dyDescent="0.2">
      <c r="A29" s="2" t="s">
        <v>229</v>
      </c>
      <c r="B29" s="123">
        <f>'Cash Flow'!D63</f>
        <v>80967</v>
      </c>
      <c r="C29" s="124">
        <f ca="1">'Cash Flow'!F63</f>
        <v>72755.56</v>
      </c>
      <c r="D29" s="126">
        <f t="shared" ca="1" si="0"/>
        <v>0.89858287944471205</v>
      </c>
      <c r="E29" s="124">
        <f t="shared" ca="1" si="1"/>
        <v>8211.4400000000023</v>
      </c>
    </row>
    <row r="30" spans="1:5" ht="14.25" customHeight="1" x14ac:dyDescent="0.2">
      <c r="A30" s="128" t="s">
        <v>231</v>
      </c>
      <c r="B30" s="123">
        <f>SUM(B26:B29)</f>
        <v>3026131.04</v>
      </c>
      <c r="C30" s="137">
        <f ca="1">SUM(C26:C29)</f>
        <v>2167959.58</v>
      </c>
      <c r="D30" s="139">
        <f t="shared" ca="1" si="0"/>
        <v>0.71641298785263441</v>
      </c>
      <c r="E30" s="137">
        <f t="shared" ca="1" si="1"/>
        <v>858171.46</v>
      </c>
    </row>
    <row r="31" spans="1:5" ht="14.25" customHeight="1" x14ac:dyDescent="0.2">
      <c r="A31" s="17" t="s">
        <v>232</v>
      </c>
      <c r="B31" s="121">
        <f>B30+B23</f>
        <v>6961213.6381999999</v>
      </c>
      <c r="C31" s="58">
        <f ca="1">C30+C23</f>
        <v>5580128.9100000001</v>
      </c>
      <c r="D31" s="122">
        <f t="shared" ca="1" si="0"/>
        <v>0.80160288133936441</v>
      </c>
      <c r="E31" s="58">
        <f t="shared" ca="1" si="1"/>
        <v>1381084.7281999998</v>
      </c>
    </row>
    <row r="32" spans="1:5" ht="14.25" customHeight="1" x14ac:dyDescent="0.2">
      <c r="B32" s="121"/>
      <c r="C32" s="58"/>
      <c r="D32" s="122"/>
      <c r="E32" s="58"/>
    </row>
    <row r="33" spans="1:5" ht="14.25" customHeight="1" x14ac:dyDescent="0.2">
      <c r="A33" s="2" t="s">
        <v>236</v>
      </c>
      <c r="B33" s="121">
        <v>82322</v>
      </c>
      <c r="C33" s="58">
        <f>B33/12*12</f>
        <v>82322</v>
      </c>
      <c r="D33" s="122">
        <f>C33/B33</f>
        <v>1</v>
      </c>
      <c r="E33" s="58"/>
    </row>
    <row r="34" spans="1:5" ht="14.25" customHeight="1" x14ac:dyDescent="0.2">
      <c r="A34" s="2" t="s">
        <v>237</v>
      </c>
      <c r="B34" s="121">
        <f>-'Cash Flow'!D100</f>
        <v>0</v>
      </c>
      <c r="C34" s="58">
        <f ca="1">-'Cash Flow'!F100</f>
        <v>0</v>
      </c>
      <c r="D34" s="122" t="e">
        <f ca="1">C34/B34</f>
        <v>#DIV/0!</v>
      </c>
      <c r="E34" s="58"/>
    </row>
    <row r="35" spans="1:5" ht="14.25" customHeight="1" x14ac:dyDescent="0.2">
      <c r="B35" s="121"/>
      <c r="C35" s="58"/>
    </row>
    <row r="36" spans="1:5" ht="14.25" customHeight="1" x14ac:dyDescent="0.2">
      <c r="A36" s="17" t="s">
        <v>238</v>
      </c>
      <c r="B36" s="121">
        <f>B15-B31+B33+B34</f>
        <v>-266404.63819999993</v>
      </c>
      <c r="C36" s="121">
        <f ca="1">C15-C31+C33+C34</f>
        <v>1121529.75</v>
      </c>
    </row>
    <row r="37" spans="1:5" ht="14.25" customHeight="1" x14ac:dyDescent="0.2">
      <c r="A37" s="17"/>
      <c r="B37" s="121"/>
      <c r="C37" s="121"/>
    </row>
    <row r="38" spans="1:5" ht="14.25" customHeight="1" x14ac:dyDescent="0.2">
      <c r="A38" s="17" t="s">
        <v>239</v>
      </c>
      <c r="B38" s="121">
        <f>B36+1103967</f>
        <v>837562.36180000007</v>
      </c>
      <c r="C38" s="121">
        <f ca="1">C36+1103967</f>
        <v>2225496.75</v>
      </c>
    </row>
    <row r="39" spans="1:5" ht="14.25" customHeight="1" x14ac:dyDescent="0.2">
      <c r="A39" s="17"/>
      <c r="B39" s="121"/>
      <c r="C39" s="121"/>
    </row>
    <row r="40" spans="1:5" ht="14.25" customHeight="1" x14ac:dyDescent="0.2">
      <c r="A40" s="17" t="s">
        <v>240</v>
      </c>
      <c r="B40" s="121">
        <f>B15-B31</f>
        <v>-348726.63819999993</v>
      </c>
      <c r="C40" s="121">
        <f ca="1">C15-C31</f>
        <v>1039207.75</v>
      </c>
    </row>
    <row r="41" spans="1:5" ht="14.25" customHeight="1" x14ac:dyDescent="0.2">
      <c r="A41" s="17"/>
      <c r="B41" s="121"/>
      <c r="C41" s="121"/>
    </row>
    <row r="42" spans="1:5" ht="14.25" customHeight="1" x14ac:dyDescent="0.2">
      <c r="A42" s="17" t="s">
        <v>241</v>
      </c>
      <c r="B42" s="121">
        <f>(B31-B33-B34)/B4</f>
        <v>21631.734711320754</v>
      </c>
      <c r="C42" s="121">
        <f ca="1">(C31-C33-C34)/C4</f>
        <v>17288.700974842766</v>
      </c>
    </row>
    <row r="43" spans="1:5" ht="14.25" customHeight="1" x14ac:dyDescent="0.2">
      <c r="A43" s="17"/>
    </row>
    <row r="44" spans="1:5" ht="14.25" customHeight="1" x14ac:dyDescent="0.2">
      <c r="A44" s="17" t="s">
        <v>243</v>
      </c>
      <c r="B44" s="121">
        <f>B11/B4</f>
        <v>471.69811320754718</v>
      </c>
      <c r="C44" s="121">
        <f ca="1">C11/C4</f>
        <v>413.67924528301887</v>
      </c>
    </row>
    <row r="45" spans="1:5" ht="14.25" customHeight="1" x14ac:dyDescent="0.15"/>
    <row r="46" spans="1:5" ht="14.25" customHeight="1" x14ac:dyDescent="0.15"/>
    <row r="47" spans="1:5" ht="47" customHeight="1" x14ac:dyDescent="0.25">
      <c r="A47" s="183" t="s">
        <v>329</v>
      </c>
      <c r="B47" s="184"/>
    </row>
    <row r="48" spans="1:5" ht="14.25" customHeight="1" x14ac:dyDescent="0.15"/>
    <row r="49" ht="14.25" customHeight="1" x14ac:dyDescent="0.15"/>
    <row r="50" ht="14.25" customHeight="1" x14ac:dyDescent="0.15"/>
    <row r="51" ht="14.25" customHeight="1" x14ac:dyDescent="0.15"/>
    <row r="52" ht="14.25" customHeight="1" x14ac:dyDescent="0.15"/>
    <row r="53" ht="14.25" customHeight="1" x14ac:dyDescent="0.15"/>
    <row r="54" ht="14.25" customHeight="1" x14ac:dyDescent="0.15"/>
    <row r="55" ht="14.25" customHeight="1" x14ac:dyDescent="0.15"/>
    <row r="56" ht="14.25" customHeight="1" x14ac:dyDescent="0.15"/>
    <row r="57" ht="14.25" customHeight="1" x14ac:dyDescent="0.15"/>
    <row r="58" ht="14.25" customHeight="1" x14ac:dyDescent="0.15"/>
    <row r="59" ht="14.25" customHeight="1" x14ac:dyDescent="0.15"/>
    <row r="60" ht="14.25" customHeight="1" x14ac:dyDescent="0.15"/>
    <row r="61" ht="14.25" customHeight="1" x14ac:dyDescent="0.15"/>
    <row r="62" ht="14.25" customHeight="1" x14ac:dyDescent="0.15"/>
    <row r="63" ht="14.25" customHeight="1" x14ac:dyDescent="0.15"/>
    <row r="64" ht="14.25" customHeight="1" x14ac:dyDescent="0.15"/>
    <row r="65" ht="14.25" customHeight="1" x14ac:dyDescent="0.15"/>
    <row r="66" ht="14.25" customHeight="1" x14ac:dyDescent="0.15"/>
    <row r="67" ht="14.25" customHeight="1" x14ac:dyDescent="0.15"/>
    <row r="68" ht="14.25" customHeight="1" x14ac:dyDescent="0.15"/>
    <row r="69" ht="14.25" customHeight="1" x14ac:dyDescent="0.15"/>
    <row r="70" ht="14.25" customHeight="1" x14ac:dyDescent="0.15"/>
    <row r="71" ht="14.25" customHeight="1" x14ac:dyDescent="0.15"/>
    <row r="72" ht="14.25" customHeight="1" x14ac:dyDescent="0.15"/>
    <row r="73" ht="14.25" customHeight="1" x14ac:dyDescent="0.15"/>
    <row r="74" ht="14.25" customHeight="1" x14ac:dyDescent="0.15"/>
    <row r="75" ht="14.25" customHeight="1" x14ac:dyDescent="0.15"/>
    <row r="76" ht="14.25" customHeight="1" x14ac:dyDescent="0.15"/>
    <row r="77" ht="14.25" customHeight="1" x14ac:dyDescent="0.15"/>
    <row r="78" ht="14.25" customHeight="1" x14ac:dyDescent="0.15"/>
    <row r="79" ht="14.25" customHeight="1" x14ac:dyDescent="0.15"/>
    <row r="80" ht="14.25" customHeight="1" x14ac:dyDescent="0.15"/>
    <row r="81" ht="14.25" customHeight="1" x14ac:dyDescent="0.15"/>
    <row r="82" ht="14.25" customHeight="1" x14ac:dyDescent="0.15"/>
    <row r="83" ht="14.25" customHeight="1" x14ac:dyDescent="0.15"/>
    <row r="84" ht="14.25" customHeight="1" x14ac:dyDescent="0.15"/>
    <row r="85" ht="14.25" customHeight="1" x14ac:dyDescent="0.15"/>
    <row r="86" ht="14.25" customHeight="1" x14ac:dyDescent="0.15"/>
    <row r="87" ht="14.25" customHeight="1" x14ac:dyDescent="0.15"/>
    <row r="88" ht="14.25" customHeight="1" x14ac:dyDescent="0.15"/>
    <row r="89" ht="14.25" customHeight="1" x14ac:dyDescent="0.15"/>
    <row r="90" ht="14.25" customHeight="1" x14ac:dyDescent="0.15"/>
    <row r="91" ht="14.25" customHeight="1" x14ac:dyDescent="0.15"/>
    <row r="92" ht="14.25" customHeight="1" x14ac:dyDescent="0.15"/>
    <row r="93" ht="14.25" customHeight="1" x14ac:dyDescent="0.15"/>
    <row r="94" ht="14.25" customHeight="1" x14ac:dyDescent="0.15"/>
    <row r="95" ht="14.25" customHeight="1" x14ac:dyDescent="0.15"/>
    <row r="96" ht="14.25" customHeight="1" x14ac:dyDescent="0.15"/>
    <row r="97" ht="14.25" customHeight="1" x14ac:dyDescent="0.15"/>
    <row r="98" ht="14.25" customHeight="1" x14ac:dyDescent="0.15"/>
    <row r="99" ht="14.25" customHeight="1" x14ac:dyDescent="0.15"/>
    <row r="100" ht="14.25" customHeight="1" x14ac:dyDescent="0.15"/>
    <row r="101" ht="14.25" customHeight="1" x14ac:dyDescent="0.15"/>
    <row r="102" ht="14.25" customHeight="1" x14ac:dyDescent="0.15"/>
    <row r="103" ht="14.25" customHeight="1" x14ac:dyDescent="0.15"/>
    <row r="104" ht="14.25" customHeight="1" x14ac:dyDescent="0.15"/>
    <row r="105" ht="14.25" customHeight="1" x14ac:dyDescent="0.15"/>
    <row r="106" ht="14.25" customHeight="1" x14ac:dyDescent="0.15"/>
    <row r="107" ht="14.25" customHeight="1" x14ac:dyDescent="0.15"/>
    <row r="108" ht="14.25" customHeight="1" x14ac:dyDescent="0.15"/>
    <row r="109" ht="14.25" customHeight="1" x14ac:dyDescent="0.15"/>
    <row r="110" ht="14.25" customHeight="1" x14ac:dyDescent="0.15"/>
    <row r="111" ht="14.25" customHeight="1" x14ac:dyDescent="0.15"/>
    <row r="112" ht="14.25" customHeight="1" x14ac:dyDescent="0.15"/>
    <row r="113" ht="14.25" customHeight="1" x14ac:dyDescent="0.15"/>
    <row r="114" ht="14.25" customHeight="1" x14ac:dyDescent="0.15"/>
    <row r="115" ht="14.25" customHeight="1" x14ac:dyDescent="0.15"/>
    <row r="116" ht="14.25" customHeight="1" x14ac:dyDescent="0.15"/>
    <row r="117" ht="14.25" customHeight="1" x14ac:dyDescent="0.15"/>
    <row r="118" ht="14.25" customHeight="1" x14ac:dyDescent="0.15"/>
    <row r="119" ht="14.25" customHeight="1" x14ac:dyDescent="0.15"/>
    <row r="120" ht="14.25" customHeight="1" x14ac:dyDescent="0.15"/>
    <row r="121" ht="14.25" customHeight="1" x14ac:dyDescent="0.15"/>
    <row r="122" ht="14.25" customHeight="1" x14ac:dyDescent="0.15"/>
    <row r="123" ht="14.25" customHeight="1" x14ac:dyDescent="0.15"/>
    <row r="124" ht="14.25" customHeight="1" x14ac:dyDescent="0.15"/>
    <row r="125" ht="14.25" customHeight="1" x14ac:dyDescent="0.15"/>
    <row r="126" ht="14.25" customHeight="1" x14ac:dyDescent="0.15"/>
    <row r="127" ht="14.25" customHeight="1" x14ac:dyDescent="0.15"/>
    <row r="128" ht="14.25" customHeight="1" x14ac:dyDescent="0.15"/>
    <row r="129" ht="14.25" customHeight="1" x14ac:dyDescent="0.15"/>
    <row r="130" ht="14.25" customHeight="1" x14ac:dyDescent="0.15"/>
    <row r="131" ht="14.25" customHeight="1" x14ac:dyDescent="0.15"/>
    <row r="132" ht="14.25" customHeight="1" x14ac:dyDescent="0.15"/>
    <row r="133" ht="14.25" customHeight="1" x14ac:dyDescent="0.15"/>
    <row r="134" ht="14.25" customHeight="1" x14ac:dyDescent="0.15"/>
    <row r="135" ht="14.25" customHeight="1" x14ac:dyDescent="0.15"/>
    <row r="136" ht="14.25" customHeight="1" x14ac:dyDescent="0.15"/>
    <row r="137" ht="14.25" customHeight="1" x14ac:dyDescent="0.15"/>
    <row r="138" ht="14.25" customHeight="1" x14ac:dyDescent="0.15"/>
    <row r="139" ht="14.25" customHeight="1" x14ac:dyDescent="0.15"/>
    <row r="140" ht="14.25" customHeight="1" x14ac:dyDescent="0.15"/>
    <row r="141" ht="14.25" customHeight="1" x14ac:dyDescent="0.15"/>
    <row r="142" ht="14.25" customHeight="1" x14ac:dyDescent="0.15"/>
    <row r="143" ht="14.25" customHeight="1" x14ac:dyDescent="0.15"/>
    <row r="144" ht="14.25" customHeight="1" x14ac:dyDescent="0.15"/>
    <row r="145" ht="14.25" customHeight="1" x14ac:dyDescent="0.15"/>
    <row r="146" ht="14.25" customHeight="1" x14ac:dyDescent="0.15"/>
    <row r="147" ht="14.25" customHeight="1" x14ac:dyDescent="0.15"/>
    <row r="148" ht="14.25" customHeight="1" x14ac:dyDescent="0.15"/>
    <row r="149" ht="14.25" customHeight="1" x14ac:dyDescent="0.15"/>
    <row r="150" ht="14.25" customHeight="1" x14ac:dyDescent="0.15"/>
    <row r="151" ht="14.25" customHeight="1" x14ac:dyDescent="0.15"/>
    <row r="152" ht="14.25" customHeight="1" x14ac:dyDescent="0.15"/>
    <row r="153" ht="14.25" customHeight="1" x14ac:dyDescent="0.15"/>
    <row r="154" ht="14.25" customHeight="1" x14ac:dyDescent="0.15"/>
    <row r="155" ht="14.25" customHeight="1" x14ac:dyDescent="0.15"/>
    <row r="156" ht="14.25" customHeight="1" x14ac:dyDescent="0.15"/>
    <row r="157" ht="14.25" customHeight="1" x14ac:dyDescent="0.15"/>
    <row r="158" ht="14.25" customHeight="1" x14ac:dyDescent="0.15"/>
    <row r="159" ht="14.25" customHeight="1" x14ac:dyDescent="0.15"/>
    <row r="160" ht="14.25" customHeight="1" x14ac:dyDescent="0.15"/>
    <row r="161" ht="14.25" customHeight="1" x14ac:dyDescent="0.15"/>
    <row r="162" ht="14.25" customHeight="1" x14ac:dyDescent="0.15"/>
    <row r="163" ht="14.25" customHeight="1" x14ac:dyDescent="0.15"/>
    <row r="164" ht="14.25" customHeight="1" x14ac:dyDescent="0.15"/>
    <row r="165" ht="14.25" customHeight="1" x14ac:dyDescent="0.15"/>
    <row r="166" ht="14.25" customHeight="1" x14ac:dyDescent="0.15"/>
    <row r="167" ht="14.25" customHeight="1" x14ac:dyDescent="0.15"/>
    <row r="168" ht="14.25" customHeight="1" x14ac:dyDescent="0.15"/>
    <row r="169" ht="14.25" customHeight="1" x14ac:dyDescent="0.15"/>
    <row r="170" ht="14.25" customHeight="1" x14ac:dyDescent="0.15"/>
    <row r="171" ht="14.25" customHeight="1" x14ac:dyDescent="0.15"/>
    <row r="172" ht="14.25" customHeight="1" x14ac:dyDescent="0.15"/>
    <row r="173" ht="14.25" customHeight="1" x14ac:dyDescent="0.15"/>
    <row r="174" ht="14.25" customHeight="1" x14ac:dyDescent="0.15"/>
    <row r="175" ht="14.25" customHeight="1" x14ac:dyDescent="0.15"/>
    <row r="176" ht="14.25" customHeight="1" x14ac:dyDescent="0.15"/>
    <row r="177" ht="14.25" customHeight="1" x14ac:dyDescent="0.15"/>
    <row r="178" ht="14.25" customHeight="1" x14ac:dyDescent="0.15"/>
    <row r="179" ht="14.25" customHeight="1" x14ac:dyDescent="0.15"/>
    <row r="180" ht="14.25" customHeight="1" x14ac:dyDescent="0.15"/>
    <row r="181" ht="14.25" customHeight="1" x14ac:dyDescent="0.15"/>
    <row r="182" ht="14.25" customHeight="1" x14ac:dyDescent="0.15"/>
    <row r="183" ht="14.25" customHeight="1" x14ac:dyDescent="0.15"/>
    <row r="184" ht="14.25" customHeight="1" x14ac:dyDescent="0.15"/>
    <row r="185" ht="14.25" customHeight="1" x14ac:dyDescent="0.15"/>
    <row r="186" ht="14.25" customHeight="1" x14ac:dyDescent="0.15"/>
    <row r="187" ht="14.25" customHeight="1" x14ac:dyDescent="0.15"/>
    <row r="188" ht="14.25" customHeight="1" x14ac:dyDescent="0.15"/>
    <row r="189" ht="14.25" customHeight="1" x14ac:dyDescent="0.15"/>
    <row r="190" ht="14.25" customHeight="1" x14ac:dyDescent="0.15"/>
    <row r="191" ht="14.25" customHeight="1" x14ac:dyDescent="0.15"/>
    <row r="192" ht="14.25" customHeight="1" x14ac:dyDescent="0.15"/>
    <row r="193" ht="14.25" customHeight="1" x14ac:dyDescent="0.15"/>
    <row r="194" ht="14.25" customHeight="1" x14ac:dyDescent="0.15"/>
    <row r="195" ht="14.25" customHeight="1" x14ac:dyDescent="0.15"/>
    <row r="196" ht="14.25" customHeight="1" x14ac:dyDescent="0.15"/>
    <row r="197" ht="14.25" customHeight="1" x14ac:dyDescent="0.15"/>
    <row r="198" ht="14.25" customHeight="1" x14ac:dyDescent="0.15"/>
    <row r="199" ht="14.25" customHeight="1" x14ac:dyDescent="0.15"/>
    <row r="200" ht="14.25" customHeight="1" x14ac:dyDescent="0.15"/>
    <row r="201" ht="14.25" customHeight="1" x14ac:dyDescent="0.15"/>
    <row r="202" ht="14.25" customHeight="1" x14ac:dyDescent="0.15"/>
    <row r="203" ht="14.25" customHeight="1" x14ac:dyDescent="0.15"/>
    <row r="204" ht="14.25" customHeight="1" x14ac:dyDescent="0.15"/>
    <row r="205" ht="14.25" customHeight="1" x14ac:dyDescent="0.15"/>
    <row r="206" ht="14.25" customHeight="1" x14ac:dyDescent="0.15"/>
    <row r="207" ht="14.25" customHeight="1" x14ac:dyDescent="0.15"/>
    <row r="208" ht="14.25" customHeight="1" x14ac:dyDescent="0.15"/>
    <row r="209" ht="14.25" customHeight="1" x14ac:dyDescent="0.15"/>
    <row r="210" ht="14.25" customHeight="1" x14ac:dyDescent="0.15"/>
    <row r="211" ht="14.25" customHeight="1" x14ac:dyDescent="0.15"/>
    <row r="212" ht="14.25" customHeight="1" x14ac:dyDescent="0.15"/>
    <row r="213" ht="14.25" customHeight="1" x14ac:dyDescent="0.15"/>
    <row r="214" ht="14.25" customHeight="1" x14ac:dyDescent="0.15"/>
    <row r="215" ht="14.25" customHeight="1" x14ac:dyDescent="0.15"/>
    <row r="216" ht="14.25" customHeight="1" x14ac:dyDescent="0.15"/>
    <row r="217" ht="14.25" customHeight="1" x14ac:dyDescent="0.15"/>
    <row r="218" ht="14.25" customHeight="1" x14ac:dyDescent="0.15"/>
    <row r="219" ht="14.25" customHeight="1" x14ac:dyDescent="0.15"/>
    <row r="220" ht="14.25" customHeight="1" x14ac:dyDescent="0.15"/>
    <row r="221" ht="14.25" customHeight="1" x14ac:dyDescent="0.15"/>
    <row r="222" ht="14.25" customHeight="1" x14ac:dyDescent="0.15"/>
    <row r="223" ht="14.25" customHeight="1" x14ac:dyDescent="0.15"/>
    <row r="224" ht="14.25" customHeight="1" x14ac:dyDescent="0.15"/>
    <row r="225" ht="14.25" customHeight="1" x14ac:dyDescent="0.15"/>
    <row r="226" ht="14.25" customHeight="1" x14ac:dyDescent="0.15"/>
    <row r="227" ht="14.25" customHeight="1" x14ac:dyDescent="0.15"/>
    <row r="228" ht="14.25" customHeight="1" x14ac:dyDescent="0.15"/>
    <row r="229" ht="14.25" customHeight="1" x14ac:dyDescent="0.15"/>
    <row r="230" ht="14.25" customHeight="1" x14ac:dyDescent="0.15"/>
    <row r="231" ht="14.25" customHeight="1" x14ac:dyDescent="0.15"/>
    <row r="232" ht="14.25" customHeight="1" x14ac:dyDescent="0.15"/>
    <row r="233" ht="14.25" customHeight="1" x14ac:dyDescent="0.15"/>
    <row r="234" ht="14.25" customHeight="1" x14ac:dyDescent="0.15"/>
    <row r="235" ht="14.25" customHeight="1" x14ac:dyDescent="0.15"/>
    <row r="236" ht="14.25" customHeight="1" x14ac:dyDescent="0.15"/>
    <row r="237" ht="14.25" customHeight="1" x14ac:dyDescent="0.15"/>
    <row r="238" ht="14.25" customHeight="1" x14ac:dyDescent="0.15"/>
    <row r="239" ht="14.25" customHeight="1" x14ac:dyDescent="0.15"/>
    <row r="240" ht="14.25" customHeight="1" x14ac:dyDescent="0.15"/>
    <row r="241" ht="14.25" customHeight="1" x14ac:dyDescent="0.15"/>
    <row r="242" ht="14.25" customHeight="1" x14ac:dyDescent="0.15"/>
    <row r="243" ht="14.25" customHeight="1" x14ac:dyDescent="0.15"/>
    <row r="244" ht="14.25" customHeight="1" x14ac:dyDescent="0.15"/>
    <row r="245" ht="14.25" customHeight="1" x14ac:dyDescent="0.15"/>
    <row r="246" ht="14.25" customHeight="1" x14ac:dyDescent="0.15"/>
    <row r="247" ht="14.25" customHeight="1" x14ac:dyDescent="0.15"/>
    <row r="248" ht="14.25" customHeight="1" x14ac:dyDescent="0.15"/>
    <row r="249" ht="14.25" customHeight="1" x14ac:dyDescent="0.15"/>
    <row r="250" ht="14.25" customHeight="1" x14ac:dyDescent="0.15"/>
    <row r="251" ht="14.25" customHeight="1" x14ac:dyDescent="0.15"/>
    <row r="252" ht="14.25" customHeight="1" x14ac:dyDescent="0.15"/>
    <row r="253" ht="14.25" customHeight="1" x14ac:dyDescent="0.15"/>
    <row r="254" ht="14.25" customHeight="1" x14ac:dyDescent="0.15"/>
    <row r="255" ht="14.25" customHeight="1" x14ac:dyDescent="0.15"/>
    <row r="256" ht="14.25" customHeight="1" x14ac:dyDescent="0.15"/>
    <row r="257" ht="14.25" customHeight="1" x14ac:dyDescent="0.15"/>
    <row r="258" ht="14.25" customHeight="1" x14ac:dyDescent="0.15"/>
    <row r="259" ht="14.25" customHeight="1" x14ac:dyDescent="0.15"/>
    <row r="260" ht="14.25" customHeight="1" x14ac:dyDescent="0.15"/>
    <row r="261" ht="14.25" customHeight="1" x14ac:dyDescent="0.15"/>
    <row r="262" ht="14.25" customHeight="1" x14ac:dyDescent="0.15"/>
    <row r="263" ht="14.25" customHeight="1" x14ac:dyDescent="0.15"/>
    <row r="264" ht="14.25" customHeight="1" x14ac:dyDescent="0.15"/>
    <row r="265" ht="14.25" customHeight="1" x14ac:dyDescent="0.15"/>
    <row r="266" ht="14.25" customHeight="1" x14ac:dyDescent="0.15"/>
    <row r="267" ht="14.25" customHeight="1" x14ac:dyDescent="0.15"/>
    <row r="268" ht="14.25" customHeight="1" x14ac:dyDescent="0.15"/>
    <row r="269" ht="14.25" customHeight="1" x14ac:dyDescent="0.15"/>
    <row r="270" ht="14.25" customHeight="1" x14ac:dyDescent="0.15"/>
    <row r="271" ht="14.25" customHeight="1" x14ac:dyDescent="0.15"/>
    <row r="272" ht="14.25" customHeight="1" x14ac:dyDescent="0.15"/>
    <row r="273" ht="14.25" customHeight="1" x14ac:dyDescent="0.15"/>
    <row r="274" ht="14.25" customHeight="1" x14ac:dyDescent="0.15"/>
    <row r="275" ht="14.25" customHeight="1" x14ac:dyDescent="0.15"/>
    <row r="276" ht="14.25" customHeight="1" x14ac:dyDescent="0.15"/>
    <row r="277" ht="14.25" customHeight="1" x14ac:dyDescent="0.15"/>
    <row r="278" ht="14.25" customHeight="1" x14ac:dyDescent="0.15"/>
    <row r="279" ht="14.25" customHeight="1" x14ac:dyDescent="0.15"/>
    <row r="280" ht="14.25" customHeight="1" x14ac:dyDescent="0.15"/>
    <row r="281" ht="14.25" customHeight="1" x14ac:dyDescent="0.15"/>
    <row r="282" ht="14.25" customHeight="1" x14ac:dyDescent="0.15"/>
    <row r="283" ht="14.25" customHeight="1" x14ac:dyDescent="0.15"/>
    <row r="284" ht="14.25" customHeight="1" x14ac:dyDescent="0.15"/>
    <row r="285" ht="14.25" customHeight="1" x14ac:dyDescent="0.15"/>
    <row r="286" ht="14.25" customHeight="1" x14ac:dyDescent="0.15"/>
    <row r="287" ht="14.25" customHeight="1" x14ac:dyDescent="0.15"/>
    <row r="288" ht="14.25" customHeight="1" x14ac:dyDescent="0.15"/>
    <row r="289" ht="14.25" customHeight="1" x14ac:dyDescent="0.15"/>
    <row r="290" ht="14.25" customHeight="1" x14ac:dyDescent="0.15"/>
    <row r="291" ht="14.25" customHeight="1" x14ac:dyDescent="0.15"/>
    <row r="292" ht="14.25" customHeight="1" x14ac:dyDescent="0.15"/>
    <row r="293" ht="14.25" customHeight="1" x14ac:dyDescent="0.15"/>
    <row r="294" ht="14.25" customHeight="1" x14ac:dyDescent="0.15"/>
    <row r="295" ht="14.25" customHeight="1" x14ac:dyDescent="0.15"/>
    <row r="296" ht="14.25" customHeight="1" x14ac:dyDescent="0.15"/>
    <row r="297" ht="14.25" customHeight="1" x14ac:dyDescent="0.15"/>
    <row r="298" ht="14.25" customHeight="1" x14ac:dyDescent="0.15"/>
    <row r="299" ht="14.25" customHeight="1" x14ac:dyDescent="0.15"/>
    <row r="300" ht="14.25" customHeight="1" x14ac:dyDescent="0.15"/>
    <row r="301" ht="14.25" customHeight="1" x14ac:dyDescent="0.15"/>
    <row r="302" ht="14.25" customHeight="1" x14ac:dyDescent="0.15"/>
    <row r="303" ht="14.25" customHeight="1" x14ac:dyDescent="0.15"/>
    <row r="304" ht="14.25" customHeight="1" x14ac:dyDescent="0.15"/>
    <row r="305" ht="14.25" customHeight="1" x14ac:dyDescent="0.15"/>
    <row r="306" ht="14.25" customHeight="1" x14ac:dyDescent="0.15"/>
    <row r="307" ht="14.25" customHeight="1" x14ac:dyDescent="0.15"/>
    <row r="308" ht="14.25" customHeight="1" x14ac:dyDescent="0.15"/>
    <row r="309" ht="14.25" customHeight="1" x14ac:dyDescent="0.15"/>
    <row r="310" ht="14.25" customHeight="1" x14ac:dyDescent="0.15"/>
    <row r="311" ht="14.25" customHeight="1" x14ac:dyDescent="0.15"/>
    <row r="312" ht="14.25" customHeight="1" x14ac:dyDescent="0.15"/>
    <row r="313" ht="14.25" customHeight="1" x14ac:dyDescent="0.15"/>
    <row r="314" ht="14.25" customHeight="1" x14ac:dyDescent="0.15"/>
    <row r="315" ht="14.25" customHeight="1" x14ac:dyDescent="0.15"/>
    <row r="316" ht="14.25" customHeight="1" x14ac:dyDescent="0.15"/>
    <row r="317" ht="14.25" customHeight="1" x14ac:dyDescent="0.15"/>
    <row r="318" ht="14.25" customHeight="1" x14ac:dyDescent="0.15"/>
    <row r="319" ht="14.25" customHeight="1" x14ac:dyDescent="0.15"/>
    <row r="320" ht="14.25" customHeight="1" x14ac:dyDescent="0.15"/>
    <row r="321" ht="14.25" customHeight="1" x14ac:dyDescent="0.15"/>
    <row r="322" ht="14.25" customHeight="1" x14ac:dyDescent="0.15"/>
    <row r="323" ht="14.25" customHeight="1" x14ac:dyDescent="0.15"/>
    <row r="324" ht="14.25" customHeight="1" x14ac:dyDescent="0.15"/>
    <row r="325" ht="14.25" customHeight="1" x14ac:dyDescent="0.15"/>
    <row r="326" ht="14.25" customHeight="1" x14ac:dyDescent="0.15"/>
    <row r="327" ht="14.25" customHeight="1" x14ac:dyDescent="0.15"/>
    <row r="328" ht="14.25" customHeight="1" x14ac:dyDescent="0.15"/>
    <row r="329" ht="14.25" customHeight="1" x14ac:dyDescent="0.15"/>
    <row r="330" ht="14.25" customHeight="1" x14ac:dyDescent="0.15"/>
    <row r="331" ht="14.25" customHeight="1" x14ac:dyDescent="0.15"/>
    <row r="332" ht="14.25" customHeight="1" x14ac:dyDescent="0.15"/>
    <row r="333" ht="14.25" customHeight="1" x14ac:dyDescent="0.15"/>
    <row r="334" ht="14.25" customHeight="1" x14ac:dyDescent="0.15"/>
    <row r="335" ht="14.25" customHeight="1" x14ac:dyDescent="0.15"/>
    <row r="336" ht="14.25" customHeight="1" x14ac:dyDescent="0.15"/>
    <row r="337" ht="14.25" customHeight="1" x14ac:dyDescent="0.15"/>
    <row r="338" ht="14.25" customHeight="1" x14ac:dyDescent="0.15"/>
    <row r="339" ht="14.25" customHeight="1" x14ac:dyDescent="0.15"/>
    <row r="340" ht="14.25" customHeight="1" x14ac:dyDescent="0.15"/>
    <row r="341" ht="14.25" customHeight="1" x14ac:dyDescent="0.15"/>
    <row r="342" ht="14.25" customHeight="1" x14ac:dyDescent="0.15"/>
    <row r="343" ht="14.25" customHeight="1" x14ac:dyDescent="0.15"/>
    <row r="344" ht="14.25" customHeight="1" x14ac:dyDescent="0.15"/>
    <row r="345" ht="14.25" customHeight="1" x14ac:dyDescent="0.15"/>
    <row r="346" ht="14.25" customHeight="1" x14ac:dyDescent="0.15"/>
    <row r="347" ht="14.25" customHeight="1" x14ac:dyDescent="0.15"/>
    <row r="348" ht="14.25" customHeight="1" x14ac:dyDescent="0.15"/>
    <row r="349" ht="14.25" customHeight="1" x14ac:dyDescent="0.15"/>
    <row r="350" ht="14.25" customHeight="1" x14ac:dyDescent="0.15"/>
    <row r="351" ht="14.25" customHeight="1" x14ac:dyDescent="0.15"/>
    <row r="352" ht="14.25" customHeight="1" x14ac:dyDescent="0.15"/>
    <row r="353" ht="14.25" customHeight="1" x14ac:dyDescent="0.15"/>
    <row r="354" ht="14.25" customHeight="1" x14ac:dyDescent="0.15"/>
    <row r="355" ht="14.25" customHeight="1" x14ac:dyDescent="0.15"/>
    <row r="356" ht="14.25" customHeight="1" x14ac:dyDescent="0.15"/>
    <row r="357" ht="14.25" customHeight="1" x14ac:dyDescent="0.15"/>
    <row r="358" ht="14.25" customHeight="1" x14ac:dyDescent="0.15"/>
    <row r="359" ht="14.25" customHeight="1" x14ac:dyDescent="0.15"/>
    <row r="360" ht="14.25" customHeight="1" x14ac:dyDescent="0.15"/>
    <row r="361" ht="14.25" customHeight="1" x14ac:dyDescent="0.15"/>
    <row r="362" ht="14.25" customHeight="1" x14ac:dyDescent="0.15"/>
    <row r="363" ht="14.25" customHeight="1" x14ac:dyDescent="0.15"/>
    <row r="364" ht="14.25" customHeight="1" x14ac:dyDescent="0.15"/>
    <row r="365" ht="14.25" customHeight="1" x14ac:dyDescent="0.15"/>
    <row r="366" ht="14.25" customHeight="1" x14ac:dyDescent="0.15"/>
    <row r="367" ht="14.25" customHeight="1" x14ac:dyDescent="0.15"/>
    <row r="368" ht="14.25" customHeight="1" x14ac:dyDescent="0.15"/>
    <row r="369" ht="14.25" customHeight="1" x14ac:dyDescent="0.15"/>
    <row r="370" ht="14.25" customHeight="1" x14ac:dyDescent="0.15"/>
    <row r="371" ht="14.25" customHeight="1" x14ac:dyDescent="0.15"/>
    <row r="372" ht="14.25" customHeight="1" x14ac:dyDescent="0.15"/>
    <row r="373" ht="14.25" customHeight="1" x14ac:dyDescent="0.15"/>
    <row r="374" ht="14.25" customHeight="1" x14ac:dyDescent="0.15"/>
    <row r="375" ht="14.25" customHeight="1" x14ac:dyDescent="0.15"/>
    <row r="376" ht="14.25" customHeight="1" x14ac:dyDescent="0.15"/>
    <row r="377" ht="14.25" customHeight="1" x14ac:dyDescent="0.15"/>
    <row r="378" ht="14.25" customHeight="1" x14ac:dyDescent="0.15"/>
    <row r="379" ht="14.25" customHeight="1" x14ac:dyDescent="0.15"/>
    <row r="380" ht="14.25" customHeight="1" x14ac:dyDescent="0.15"/>
    <row r="381" ht="14.25" customHeight="1" x14ac:dyDescent="0.15"/>
    <row r="382" ht="14.25" customHeight="1" x14ac:dyDescent="0.15"/>
    <row r="383" ht="14.25" customHeight="1" x14ac:dyDescent="0.15"/>
    <row r="384" ht="14.25" customHeight="1" x14ac:dyDescent="0.15"/>
    <row r="385" ht="14.25" customHeight="1" x14ac:dyDescent="0.15"/>
    <row r="386" ht="14.25" customHeight="1" x14ac:dyDescent="0.15"/>
    <row r="387" ht="14.25" customHeight="1" x14ac:dyDescent="0.15"/>
    <row r="388" ht="14.25" customHeight="1" x14ac:dyDescent="0.15"/>
    <row r="389" ht="14.25" customHeight="1" x14ac:dyDescent="0.15"/>
    <row r="390" ht="14.25" customHeight="1" x14ac:dyDescent="0.15"/>
    <row r="391" ht="14.25" customHeight="1" x14ac:dyDescent="0.15"/>
    <row r="392" ht="14.25" customHeight="1" x14ac:dyDescent="0.15"/>
    <row r="393" ht="14.25" customHeight="1" x14ac:dyDescent="0.15"/>
    <row r="394" ht="14.25" customHeight="1" x14ac:dyDescent="0.15"/>
    <row r="395" ht="14.25" customHeight="1" x14ac:dyDescent="0.15"/>
    <row r="396" ht="14.25" customHeight="1" x14ac:dyDescent="0.15"/>
    <row r="397" ht="14.25" customHeight="1" x14ac:dyDescent="0.15"/>
    <row r="398" ht="14.25" customHeight="1" x14ac:dyDescent="0.15"/>
    <row r="399" ht="14.25" customHeight="1" x14ac:dyDescent="0.15"/>
    <row r="400" ht="14.25" customHeight="1" x14ac:dyDescent="0.15"/>
    <row r="401" ht="14.25" customHeight="1" x14ac:dyDescent="0.15"/>
    <row r="402" ht="14.25" customHeight="1" x14ac:dyDescent="0.15"/>
    <row r="403" ht="14.25" customHeight="1" x14ac:dyDescent="0.15"/>
    <row r="404" ht="14.25" customHeight="1" x14ac:dyDescent="0.15"/>
    <row r="405" ht="14.25" customHeight="1" x14ac:dyDescent="0.15"/>
    <row r="406" ht="14.25" customHeight="1" x14ac:dyDescent="0.15"/>
    <row r="407" ht="14.25" customHeight="1" x14ac:dyDescent="0.15"/>
    <row r="408" ht="14.25" customHeight="1" x14ac:dyDescent="0.15"/>
    <row r="409" ht="14.25" customHeight="1" x14ac:dyDescent="0.15"/>
    <row r="410" ht="14.25" customHeight="1" x14ac:dyDescent="0.15"/>
    <row r="411" ht="14.25" customHeight="1" x14ac:dyDescent="0.15"/>
    <row r="412" ht="14.25" customHeight="1" x14ac:dyDescent="0.15"/>
    <row r="413" ht="14.25" customHeight="1" x14ac:dyDescent="0.15"/>
    <row r="414" ht="14.25" customHeight="1" x14ac:dyDescent="0.15"/>
    <row r="415" ht="14.25" customHeight="1" x14ac:dyDescent="0.15"/>
    <row r="416" ht="14.25" customHeight="1" x14ac:dyDescent="0.15"/>
    <row r="417" ht="14.25" customHeight="1" x14ac:dyDescent="0.15"/>
    <row r="418" ht="14.25" customHeight="1" x14ac:dyDescent="0.15"/>
    <row r="419" ht="14.25" customHeight="1" x14ac:dyDescent="0.15"/>
    <row r="420" ht="14.25" customHeight="1" x14ac:dyDescent="0.15"/>
    <row r="421" ht="14.25" customHeight="1" x14ac:dyDescent="0.15"/>
    <row r="422" ht="14.25" customHeight="1" x14ac:dyDescent="0.15"/>
    <row r="423" ht="14.25" customHeight="1" x14ac:dyDescent="0.15"/>
    <row r="424" ht="14.25" customHeight="1" x14ac:dyDescent="0.15"/>
    <row r="425" ht="14.25" customHeight="1" x14ac:dyDescent="0.15"/>
    <row r="426" ht="14.25" customHeight="1" x14ac:dyDescent="0.15"/>
    <row r="427" ht="14.25" customHeight="1" x14ac:dyDescent="0.15"/>
    <row r="428" ht="14.25" customHeight="1" x14ac:dyDescent="0.15"/>
    <row r="429" ht="14.25" customHeight="1" x14ac:dyDescent="0.15"/>
    <row r="430" ht="14.25" customHeight="1" x14ac:dyDescent="0.15"/>
    <row r="431" ht="14.25" customHeight="1" x14ac:dyDescent="0.15"/>
    <row r="432" ht="14.25" customHeight="1" x14ac:dyDescent="0.15"/>
    <row r="433" ht="14.25" customHeight="1" x14ac:dyDescent="0.15"/>
    <row r="434" ht="14.25" customHeight="1" x14ac:dyDescent="0.15"/>
    <row r="435" ht="14.25" customHeight="1" x14ac:dyDescent="0.15"/>
    <row r="436" ht="14.25" customHeight="1" x14ac:dyDescent="0.15"/>
    <row r="437" ht="14.25" customHeight="1" x14ac:dyDescent="0.15"/>
    <row r="438" ht="14.25" customHeight="1" x14ac:dyDescent="0.15"/>
    <row r="439" ht="14.25" customHeight="1" x14ac:dyDescent="0.15"/>
    <row r="440" ht="14.25" customHeight="1" x14ac:dyDescent="0.15"/>
    <row r="441" ht="14.25" customHeight="1" x14ac:dyDescent="0.15"/>
    <row r="442" ht="14.25" customHeight="1" x14ac:dyDescent="0.15"/>
    <row r="443" ht="14.25" customHeight="1" x14ac:dyDescent="0.15"/>
    <row r="444" ht="14.25" customHeight="1" x14ac:dyDescent="0.15"/>
    <row r="445" ht="14.25" customHeight="1" x14ac:dyDescent="0.15"/>
    <row r="446" ht="14.25" customHeight="1" x14ac:dyDescent="0.15"/>
    <row r="447" ht="14.25" customHeight="1" x14ac:dyDescent="0.15"/>
    <row r="448" ht="14.25" customHeight="1" x14ac:dyDescent="0.15"/>
    <row r="449" ht="14.25" customHeight="1" x14ac:dyDescent="0.15"/>
    <row r="450" ht="14.25" customHeight="1" x14ac:dyDescent="0.15"/>
    <row r="451" ht="14.25" customHeight="1" x14ac:dyDescent="0.15"/>
    <row r="452" ht="14.25" customHeight="1" x14ac:dyDescent="0.15"/>
    <row r="453" ht="14.25" customHeight="1" x14ac:dyDescent="0.15"/>
    <row r="454" ht="14.25" customHeight="1" x14ac:dyDescent="0.15"/>
    <row r="455" ht="14.25" customHeight="1" x14ac:dyDescent="0.15"/>
    <row r="456" ht="14.25" customHeight="1" x14ac:dyDescent="0.15"/>
    <row r="457" ht="14.25" customHeight="1" x14ac:dyDescent="0.15"/>
    <row r="458" ht="14.25" customHeight="1" x14ac:dyDescent="0.15"/>
    <row r="459" ht="14.25" customHeight="1" x14ac:dyDescent="0.15"/>
    <row r="460" ht="14.25" customHeight="1" x14ac:dyDescent="0.15"/>
    <row r="461" ht="14.25" customHeight="1" x14ac:dyDescent="0.15"/>
    <row r="462" ht="14.25" customHeight="1" x14ac:dyDescent="0.15"/>
    <row r="463" ht="14.25" customHeight="1" x14ac:dyDescent="0.15"/>
    <row r="464" ht="14.25" customHeight="1" x14ac:dyDescent="0.15"/>
    <row r="465" ht="14.25" customHeight="1" x14ac:dyDescent="0.15"/>
    <row r="466" ht="14.25" customHeight="1" x14ac:dyDescent="0.15"/>
    <row r="467" ht="14.25" customHeight="1" x14ac:dyDescent="0.15"/>
    <row r="468" ht="14.25" customHeight="1" x14ac:dyDescent="0.15"/>
    <row r="469" ht="14.25" customHeight="1" x14ac:dyDescent="0.15"/>
    <row r="470" ht="14.25" customHeight="1" x14ac:dyDescent="0.15"/>
    <row r="471" ht="14.25" customHeight="1" x14ac:dyDescent="0.15"/>
    <row r="472" ht="14.25" customHeight="1" x14ac:dyDescent="0.15"/>
    <row r="473" ht="14.25" customHeight="1" x14ac:dyDescent="0.15"/>
    <row r="474" ht="14.25" customHeight="1" x14ac:dyDescent="0.15"/>
    <row r="475" ht="14.25" customHeight="1" x14ac:dyDescent="0.15"/>
    <row r="476" ht="14.25" customHeight="1" x14ac:dyDescent="0.15"/>
    <row r="477" ht="14.25" customHeight="1" x14ac:dyDescent="0.15"/>
    <row r="478" ht="14.25" customHeight="1" x14ac:dyDescent="0.15"/>
    <row r="479" ht="14.25" customHeight="1" x14ac:dyDescent="0.15"/>
    <row r="480" ht="14.25" customHeight="1" x14ac:dyDescent="0.15"/>
    <row r="481" ht="14.25" customHeight="1" x14ac:dyDescent="0.15"/>
    <row r="482" ht="14.25" customHeight="1" x14ac:dyDescent="0.15"/>
    <row r="483" ht="14.25" customHeight="1" x14ac:dyDescent="0.15"/>
    <row r="484" ht="14.25" customHeight="1" x14ac:dyDescent="0.15"/>
    <row r="485" ht="14.25" customHeight="1" x14ac:dyDescent="0.15"/>
    <row r="486" ht="14.25" customHeight="1" x14ac:dyDescent="0.15"/>
    <row r="487" ht="14.25" customHeight="1" x14ac:dyDescent="0.15"/>
    <row r="488" ht="14.25" customHeight="1" x14ac:dyDescent="0.15"/>
    <row r="489" ht="14.25" customHeight="1" x14ac:dyDescent="0.15"/>
    <row r="490" ht="14.25" customHeight="1" x14ac:dyDescent="0.15"/>
    <row r="491" ht="14.25" customHeight="1" x14ac:dyDescent="0.15"/>
    <row r="492" ht="14.25" customHeight="1" x14ac:dyDescent="0.15"/>
    <row r="493" ht="14.25" customHeight="1" x14ac:dyDescent="0.15"/>
    <row r="494" ht="14.25" customHeight="1" x14ac:dyDescent="0.15"/>
    <row r="495" ht="14.25" customHeight="1" x14ac:dyDescent="0.15"/>
    <row r="496" ht="14.25" customHeight="1" x14ac:dyDescent="0.15"/>
    <row r="497" ht="14.25" customHeight="1" x14ac:dyDescent="0.15"/>
    <row r="498" ht="14.25" customHeight="1" x14ac:dyDescent="0.15"/>
    <row r="499" ht="14.25" customHeight="1" x14ac:dyDescent="0.15"/>
    <row r="500" ht="14.25" customHeight="1" x14ac:dyDescent="0.15"/>
    <row r="501" ht="14.25" customHeight="1" x14ac:dyDescent="0.15"/>
    <row r="502" ht="14.25" customHeight="1" x14ac:dyDescent="0.15"/>
    <row r="503" ht="14.25" customHeight="1" x14ac:dyDescent="0.15"/>
    <row r="504" ht="14.25" customHeight="1" x14ac:dyDescent="0.15"/>
    <row r="505" ht="14.25" customHeight="1" x14ac:dyDescent="0.15"/>
    <row r="506" ht="14.25" customHeight="1" x14ac:dyDescent="0.15"/>
    <row r="507" ht="14.25" customHeight="1" x14ac:dyDescent="0.15"/>
    <row r="508" ht="14.25" customHeight="1" x14ac:dyDescent="0.15"/>
    <row r="509" ht="14.25" customHeight="1" x14ac:dyDescent="0.15"/>
    <row r="510" ht="14.25" customHeight="1" x14ac:dyDescent="0.15"/>
    <row r="511" ht="14.25" customHeight="1" x14ac:dyDescent="0.15"/>
    <row r="512" ht="14.25" customHeight="1" x14ac:dyDescent="0.15"/>
    <row r="513" ht="14.25" customHeight="1" x14ac:dyDescent="0.15"/>
    <row r="514" ht="14.25" customHeight="1" x14ac:dyDescent="0.15"/>
    <row r="515" ht="14.25" customHeight="1" x14ac:dyDescent="0.15"/>
    <row r="516" ht="14.25" customHeight="1" x14ac:dyDescent="0.15"/>
    <row r="517" ht="14.25" customHeight="1" x14ac:dyDescent="0.15"/>
    <row r="518" ht="14.25" customHeight="1" x14ac:dyDescent="0.15"/>
    <row r="519" ht="14.25" customHeight="1" x14ac:dyDescent="0.15"/>
    <row r="520" ht="14.25" customHeight="1" x14ac:dyDescent="0.15"/>
    <row r="521" ht="14.25" customHeight="1" x14ac:dyDescent="0.15"/>
    <row r="522" ht="14.25" customHeight="1" x14ac:dyDescent="0.15"/>
    <row r="523" ht="14.25" customHeight="1" x14ac:dyDescent="0.15"/>
    <row r="524" ht="14.25" customHeight="1" x14ac:dyDescent="0.15"/>
    <row r="525" ht="14.25" customHeight="1" x14ac:dyDescent="0.15"/>
    <row r="526" ht="14.25" customHeight="1" x14ac:dyDescent="0.15"/>
    <row r="527" ht="14.25" customHeight="1" x14ac:dyDescent="0.15"/>
    <row r="528" ht="14.25" customHeight="1" x14ac:dyDescent="0.15"/>
    <row r="529" ht="14.25" customHeight="1" x14ac:dyDescent="0.15"/>
    <row r="530" ht="14.25" customHeight="1" x14ac:dyDescent="0.15"/>
    <row r="531" ht="14.25" customHeight="1" x14ac:dyDescent="0.15"/>
    <row r="532" ht="14.25" customHeight="1" x14ac:dyDescent="0.15"/>
    <row r="533" ht="14.25" customHeight="1" x14ac:dyDescent="0.15"/>
    <row r="534" ht="14.25" customHeight="1" x14ac:dyDescent="0.15"/>
    <row r="535" ht="14.25" customHeight="1" x14ac:dyDescent="0.15"/>
    <row r="536" ht="14.25" customHeight="1" x14ac:dyDescent="0.15"/>
    <row r="537" ht="14.25" customHeight="1" x14ac:dyDescent="0.15"/>
    <row r="538" ht="14.25" customHeight="1" x14ac:dyDescent="0.15"/>
    <row r="539" ht="14.25" customHeight="1" x14ac:dyDescent="0.15"/>
    <row r="540" ht="14.25" customHeight="1" x14ac:dyDescent="0.15"/>
    <row r="541" ht="14.25" customHeight="1" x14ac:dyDescent="0.15"/>
    <row r="542" ht="14.25" customHeight="1" x14ac:dyDescent="0.15"/>
    <row r="543" ht="14.25" customHeight="1" x14ac:dyDescent="0.15"/>
    <row r="544" ht="14.25" customHeight="1" x14ac:dyDescent="0.15"/>
    <row r="545" ht="14.25" customHeight="1" x14ac:dyDescent="0.15"/>
    <row r="546" ht="14.25" customHeight="1" x14ac:dyDescent="0.15"/>
    <row r="547" ht="14.25" customHeight="1" x14ac:dyDescent="0.15"/>
    <row r="548" ht="14.25" customHeight="1" x14ac:dyDescent="0.15"/>
    <row r="549" ht="14.25" customHeight="1" x14ac:dyDescent="0.15"/>
    <row r="550" ht="14.25" customHeight="1" x14ac:dyDescent="0.15"/>
    <row r="551" ht="14.25" customHeight="1" x14ac:dyDescent="0.15"/>
    <row r="552" ht="14.25" customHeight="1" x14ac:dyDescent="0.15"/>
    <row r="553" ht="14.25" customHeight="1" x14ac:dyDescent="0.15"/>
    <row r="554" ht="14.25" customHeight="1" x14ac:dyDescent="0.15"/>
    <row r="555" ht="14.25" customHeight="1" x14ac:dyDescent="0.15"/>
    <row r="556" ht="14.25" customHeight="1" x14ac:dyDescent="0.15"/>
    <row r="557" ht="14.25" customHeight="1" x14ac:dyDescent="0.15"/>
    <row r="558" ht="14.25" customHeight="1" x14ac:dyDescent="0.15"/>
    <row r="559" ht="14.25" customHeight="1" x14ac:dyDescent="0.15"/>
    <row r="560" ht="14.25" customHeight="1" x14ac:dyDescent="0.15"/>
    <row r="561" ht="14.25" customHeight="1" x14ac:dyDescent="0.15"/>
    <row r="562" ht="14.25" customHeight="1" x14ac:dyDescent="0.15"/>
    <row r="563" ht="14.25" customHeight="1" x14ac:dyDescent="0.15"/>
    <row r="564" ht="14.25" customHeight="1" x14ac:dyDescent="0.15"/>
    <row r="565" ht="14.25" customHeight="1" x14ac:dyDescent="0.15"/>
    <row r="566" ht="14.25" customHeight="1" x14ac:dyDescent="0.15"/>
    <row r="567" ht="14.25" customHeight="1" x14ac:dyDescent="0.15"/>
    <row r="568" ht="14.25" customHeight="1" x14ac:dyDescent="0.15"/>
    <row r="569" ht="14.25" customHeight="1" x14ac:dyDescent="0.15"/>
    <row r="570" ht="14.25" customHeight="1" x14ac:dyDescent="0.15"/>
    <row r="571" ht="14.25" customHeight="1" x14ac:dyDescent="0.15"/>
    <row r="572" ht="14.25" customHeight="1" x14ac:dyDescent="0.15"/>
    <row r="573" ht="14.25" customHeight="1" x14ac:dyDescent="0.15"/>
    <row r="574" ht="14.25" customHeight="1" x14ac:dyDescent="0.15"/>
    <row r="575" ht="14.25" customHeight="1" x14ac:dyDescent="0.15"/>
    <row r="576" ht="14.25" customHeight="1" x14ac:dyDescent="0.15"/>
    <row r="577" ht="14.25" customHeight="1" x14ac:dyDescent="0.15"/>
    <row r="578" ht="14.25" customHeight="1" x14ac:dyDescent="0.15"/>
    <row r="579" ht="14.25" customHeight="1" x14ac:dyDescent="0.15"/>
    <row r="580" ht="14.25" customHeight="1" x14ac:dyDescent="0.15"/>
    <row r="581" ht="14.25" customHeight="1" x14ac:dyDescent="0.15"/>
    <row r="582" ht="14.25" customHeight="1" x14ac:dyDescent="0.15"/>
    <row r="583" ht="14.25" customHeight="1" x14ac:dyDescent="0.15"/>
    <row r="584" ht="14.25" customHeight="1" x14ac:dyDescent="0.15"/>
    <row r="585" ht="14.25" customHeight="1" x14ac:dyDescent="0.15"/>
    <row r="586" ht="14.25" customHeight="1" x14ac:dyDescent="0.15"/>
    <row r="587" ht="14.25" customHeight="1" x14ac:dyDescent="0.15"/>
    <row r="588" ht="14.25" customHeight="1" x14ac:dyDescent="0.15"/>
    <row r="589" ht="14.25" customHeight="1" x14ac:dyDescent="0.15"/>
    <row r="590" ht="14.25" customHeight="1" x14ac:dyDescent="0.15"/>
    <row r="591" ht="14.25" customHeight="1" x14ac:dyDescent="0.15"/>
    <row r="592" ht="14.25" customHeight="1" x14ac:dyDescent="0.15"/>
    <row r="593" ht="14.25" customHeight="1" x14ac:dyDescent="0.15"/>
    <row r="594" ht="14.25" customHeight="1" x14ac:dyDescent="0.15"/>
    <row r="595" ht="14.25" customHeight="1" x14ac:dyDescent="0.15"/>
    <row r="596" ht="14.25" customHeight="1" x14ac:dyDescent="0.15"/>
    <row r="597" ht="14.25" customHeight="1" x14ac:dyDescent="0.15"/>
    <row r="598" ht="14.25" customHeight="1" x14ac:dyDescent="0.15"/>
    <row r="599" ht="14.25" customHeight="1" x14ac:dyDescent="0.15"/>
    <row r="600" ht="14.25" customHeight="1" x14ac:dyDescent="0.15"/>
    <row r="601" ht="14.25" customHeight="1" x14ac:dyDescent="0.15"/>
    <row r="602" ht="14.25" customHeight="1" x14ac:dyDescent="0.15"/>
    <row r="603" ht="14.25" customHeight="1" x14ac:dyDescent="0.15"/>
    <row r="604" ht="14.25" customHeight="1" x14ac:dyDescent="0.15"/>
    <row r="605" ht="14.25" customHeight="1" x14ac:dyDescent="0.15"/>
    <row r="606" ht="14.25" customHeight="1" x14ac:dyDescent="0.15"/>
    <row r="607" ht="14.25" customHeight="1" x14ac:dyDescent="0.15"/>
    <row r="608" ht="14.25" customHeight="1" x14ac:dyDescent="0.15"/>
    <row r="609" ht="14.25" customHeight="1" x14ac:dyDescent="0.15"/>
    <row r="610" ht="14.25" customHeight="1" x14ac:dyDescent="0.15"/>
    <row r="611" ht="14.25" customHeight="1" x14ac:dyDescent="0.15"/>
    <row r="612" ht="14.25" customHeight="1" x14ac:dyDescent="0.15"/>
    <row r="613" ht="14.25" customHeight="1" x14ac:dyDescent="0.15"/>
    <row r="614" ht="14.25" customHeight="1" x14ac:dyDescent="0.15"/>
    <row r="615" ht="14.25" customHeight="1" x14ac:dyDescent="0.15"/>
    <row r="616" ht="14.25" customHeight="1" x14ac:dyDescent="0.15"/>
    <row r="617" ht="14.25" customHeight="1" x14ac:dyDescent="0.15"/>
    <row r="618" ht="14.25" customHeight="1" x14ac:dyDescent="0.15"/>
    <row r="619" ht="14.25" customHeight="1" x14ac:dyDescent="0.15"/>
    <row r="620" ht="14.25" customHeight="1" x14ac:dyDescent="0.15"/>
    <row r="621" ht="14.25" customHeight="1" x14ac:dyDescent="0.15"/>
    <row r="622" ht="14.25" customHeight="1" x14ac:dyDescent="0.15"/>
    <row r="623" ht="14.25" customHeight="1" x14ac:dyDescent="0.15"/>
    <row r="624" ht="14.25" customHeight="1" x14ac:dyDescent="0.15"/>
    <row r="625" ht="14.25" customHeight="1" x14ac:dyDescent="0.15"/>
    <row r="626" ht="14.25" customHeight="1" x14ac:dyDescent="0.15"/>
    <row r="627" ht="14.25" customHeight="1" x14ac:dyDescent="0.15"/>
    <row r="628" ht="14.25" customHeight="1" x14ac:dyDescent="0.15"/>
    <row r="629" ht="14.25" customHeight="1" x14ac:dyDescent="0.15"/>
    <row r="630" ht="14.25" customHeight="1" x14ac:dyDescent="0.15"/>
    <row r="631" ht="14.25" customHeight="1" x14ac:dyDescent="0.15"/>
    <row r="632" ht="14.25" customHeight="1" x14ac:dyDescent="0.15"/>
    <row r="633" ht="14.25" customHeight="1" x14ac:dyDescent="0.15"/>
    <row r="634" ht="14.25" customHeight="1" x14ac:dyDescent="0.15"/>
    <row r="635" ht="14.25" customHeight="1" x14ac:dyDescent="0.15"/>
    <row r="636" ht="14.25" customHeight="1" x14ac:dyDescent="0.15"/>
    <row r="637" ht="14.25" customHeight="1" x14ac:dyDescent="0.15"/>
    <row r="638" ht="14.25" customHeight="1" x14ac:dyDescent="0.15"/>
    <row r="639" ht="14.25" customHeight="1" x14ac:dyDescent="0.15"/>
    <row r="640" ht="14.25" customHeight="1" x14ac:dyDescent="0.15"/>
    <row r="641" ht="14.25" customHeight="1" x14ac:dyDescent="0.15"/>
    <row r="642" ht="14.25" customHeight="1" x14ac:dyDescent="0.15"/>
    <row r="643" ht="14.25" customHeight="1" x14ac:dyDescent="0.15"/>
    <row r="644" ht="14.25" customHeight="1" x14ac:dyDescent="0.15"/>
    <row r="645" ht="14.25" customHeight="1" x14ac:dyDescent="0.15"/>
    <row r="646" ht="14.25" customHeight="1" x14ac:dyDescent="0.15"/>
    <row r="647" ht="14.25" customHeight="1" x14ac:dyDescent="0.15"/>
    <row r="648" ht="14.25" customHeight="1" x14ac:dyDescent="0.15"/>
    <row r="649" ht="14.25" customHeight="1" x14ac:dyDescent="0.15"/>
    <row r="650" ht="14.25" customHeight="1" x14ac:dyDescent="0.15"/>
    <row r="651" ht="14.25" customHeight="1" x14ac:dyDescent="0.15"/>
    <row r="652" ht="14.25" customHeight="1" x14ac:dyDescent="0.15"/>
    <row r="653" ht="14.25" customHeight="1" x14ac:dyDescent="0.15"/>
    <row r="654" ht="14.25" customHeight="1" x14ac:dyDescent="0.15"/>
    <row r="655" ht="14.25" customHeight="1" x14ac:dyDescent="0.15"/>
    <row r="656" ht="14.25" customHeight="1" x14ac:dyDescent="0.15"/>
    <row r="657" ht="14.25" customHeight="1" x14ac:dyDescent="0.15"/>
    <row r="658" ht="14.25" customHeight="1" x14ac:dyDescent="0.15"/>
    <row r="659" ht="14.25" customHeight="1" x14ac:dyDescent="0.15"/>
    <row r="660" ht="14.25" customHeight="1" x14ac:dyDescent="0.15"/>
    <row r="661" ht="14.25" customHeight="1" x14ac:dyDescent="0.15"/>
    <row r="662" ht="14.25" customHeight="1" x14ac:dyDescent="0.15"/>
    <row r="663" ht="14.25" customHeight="1" x14ac:dyDescent="0.15"/>
    <row r="664" ht="14.25" customHeight="1" x14ac:dyDescent="0.15"/>
    <row r="665" ht="14.25" customHeight="1" x14ac:dyDescent="0.15"/>
    <row r="666" ht="14.25" customHeight="1" x14ac:dyDescent="0.15"/>
    <row r="667" ht="14.25" customHeight="1" x14ac:dyDescent="0.15"/>
    <row r="668" ht="14.25" customHeight="1" x14ac:dyDescent="0.15"/>
    <row r="669" ht="14.25" customHeight="1" x14ac:dyDescent="0.15"/>
    <row r="670" ht="14.25" customHeight="1" x14ac:dyDescent="0.15"/>
    <row r="671" ht="14.25" customHeight="1" x14ac:dyDescent="0.15"/>
    <row r="672" ht="14.25" customHeight="1" x14ac:dyDescent="0.15"/>
    <row r="673" ht="14.25" customHeight="1" x14ac:dyDescent="0.15"/>
    <row r="674" ht="14.25" customHeight="1" x14ac:dyDescent="0.15"/>
    <row r="675" ht="14.25" customHeight="1" x14ac:dyDescent="0.15"/>
    <row r="676" ht="14.25" customHeight="1" x14ac:dyDescent="0.15"/>
    <row r="677" ht="14.25" customHeight="1" x14ac:dyDescent="0.15"/>
    <row r="678" ht="14.25" customHeight="1" x14ac:dyDescent="0.15"/>
    <row r="679" ht="14.25" customHeight="1" x14ac:dyDescent="0.15"/>
    <row r="680" ht="14.25" customHeight="1" x14ac:dyDescent="0.15"/>
    <row r="681" ht="14.25" customHeight="1" x14ac:dyDescent="0.15"/>
    <row r="682" ht="14.25" customHeight="1" x14ac:dyDescent="0.15"/>
    <row r="683" ht="14.25" customHeight="1" x14ac:dyDescent="0.15"/>
    <row r="684" ht="14.25" customHeight="1" x14ac:dyDescent="0.15"/>
    <row r="685" ht="14.25" customHeight="1" x14ac:dyDescent="0.15"/>
    <row r="686" ht="14.25" customHeight="1" x14ac:dyDescent="0.15"/>
    <row r="687" ht="14.25" customHeight="1" x14ac:dyDescent="0.15"/>
    <row r="688" ht="14.25" customHeight="1" x14ac:dyDescent="0.15"/>
    <row r="689" ht="14.25" customHeight="1" x14ac:dyDescent="0.15"/>
    <row r="690" ht="14.25" customHeight="1" x14ac:dyDescent="0.15"/>
    <row r="691" ht="14.25" customHeight="1" x14ac:dyDescent="0.15"/>
    <row r="692" ht="14.25" customHeight="1" x14ac:dyDescent="0.15"/>
    <row r="693" ht="14.25" customHeight="1" x14ac:dyDescent="0.15"/>
    <row r="694" ht="14.25" customHeight="1" x14ac:dyDescent="0.15"/>
    <row r="695" ht="14.25" customHeight="1" x14ac:dyDescent="0.15"/>
    <row r="696" ht="14.25" customHeight="1" x14ac:dyDescent="0.15"/>
    <row r="697" ht="14.25" customHeight="1" x14ac:dyDescent="0.15"/>
    <row r="698" ht="14.25" customHeight="1" x14ac:dyDescent="0.15"/>
    <row r="699" ht="14.25" customHeight="1" x14ac:dyDescent="0.15"/>
    <row r="700" ht="14.25" customHeight="1" x14ac:dyDescent="0.15"/>
    <row r="701" ht="14.25" customHeight="1" x14ac:dyDescent="0.15"/>
    <row r="702" ht="14.25" customHeight="1" x14ac:dyDescent="0.15"/>
    <row r="703" ht="14.25" customHeight="1" x14ac:dyDescent="0.15"/>
    <row r="704" ht="14.25" customHeight="1" x14ac:dyDescent="0.15"/>
    <row r="705" ht="14.25" customHeight="1" x14ac:dyDescent="0.15"/>
    <row r="706" ht="14.25" customHeight="1" x14ac:dyDescent="0.15"/>
    <row r="707" ht="14.25" customHeight="1" x14ac:dyDescent="0.15"/>
    <row r="708" ht="14.25" customHeight="1" x14ac:dyDescent="0.15"/>
    <row r="709" ht="14.25" customHeight="1" x14ac:dyDescent="0.15"/>
    <row r="710" ht="14.25" customHeight="1" x14ac:dyDescent="0.15"/>
    <row r="711" ht="14.25" customHeight="1" x14ac:dyDescent="0.15"/>
    <row r="712" ht="14.25" customHeight="1" x14ac:dyDescent="0.15"/>
    <row r="713" ht="14.25" customHeight="1" x14ac:dyDescent="0.15"/>
    <row r="714" ht="14.25" customHeight="1" x14ac:dyDescent="0.15"/>
    <row r="715" ht="14.25" customHeight="1" x14ac:dyDescent="0.15"/>
    <row r="716" ht="14.25" customHeight="1" x14ac:dyDescent="0.15"/>
    <row r="717" ht="14.25" customHeight="1" x14ac:dyDescent="0.15"/>
    <row r="718" ht="14.25" customHeight="1" x14ac:dyDescent="0.15"/>
    <row r="719" ht="14.25" customHeight="1" x14ac:dyDescent="0.15"/>
    <row r="720" ht="14.25" customHeight="1" x14ac:dyDescent="0.15"/>
    <row r="721" ht="14.25" customHeight="1" x14ac:dyDescent="0.15"/>
    <row r="722" ht="14.25" customHeight="1" x14ac:dyDescent="0.15"/>
    <row r="723" ht="14.25" customHeight="1" x14ac:dyDescent="0.15"/>
    <row r="724" ht="14.25" customHeight="1" x14ac:dyDescent="0.15"/>
    <row r="725" ht="14.25" customHeight="1" x14ac:dyDescent="0.15"/>
    <row r="726" ht="14.25" customHeight="1" x14ac:dyDescent="0.15"/>
    <row r="727" ht="14.25" customHeight="1" x14ac:dyDescent="0.15"/>
    <row r="728" ht="14.25" customHeight="1" x14ac:dyDescent="0.15"/>
    <row r="729" ht="14.25" customHeight="1" x14ac:dyDescent="0.15"/>
    <row r="730" ht="14.25" customHeight="1" x14ac:dyDescent="0.15"/>
    <row r="731" ht="14.25" customHeight="1" x14ac:dyDescent="0.15"/>
    <row r="732" ht="14.25" customHeight="1" x14ac:dyDescent="0.15"/>
    <row r="733" ht="14.25" customHeight="1" x14ac:dyDescent="0.15"/>
    <row r="734" ht="14.25" customHeight="1" x14ac:dyDescent="0.15"/>
    <row r="735" ht="14.25" customHeight="1" x14ac:dyDescent="0.15"/>
    <row r="736" ht="14.25" customHeight="1" x14ac:dyDescent="0.15"/>
    <row r="737" ht="14.25" customHeight="1" x14ac:dyDescent="0.15"/>
    <row r="738" ht="14.25" customHeight="1" x14ac:dyDescent="0.15"/>
    <row r="739" ht="14.25" customHeight="1" x14ac:dyDescent="0.15"/>
    <row r="740" ht="14.25" customHeight="1" x14ac:dyDescent="0.15"/>
    <row r="741" ht="14.25" customHeight="1" x14ac:dyDescent="0.15"/>
    <row r="742" ht="14.25" customHeight="1" x14ac:dyDescent="0.15"/>
    <row r="743" ht="14.25" customHeight="1" x14ac:dyDescent="0.15"/>
    <row r="744" ht="14.25" customHeight="1" x14ac:dyDescent="0.15"/>
    <row r="745" ht="14.25" customHeight="1" x14ac:dyDescent="0.15"/>
    <row r="746" ht="14.25" customHeight="1" x14ac:dyDescent="0.15"/>
    <row r="747" ht="14.25" customHeight="1" x14ac:dyDescent="0.15"/>
    <row r="748" ht="14.25" customHeight="1" x14ac:dyDescent="0.15"/>
    <row r="749" ht="14.25" customHeight="1" x14ac:dyDescent="0.15"/>
    <row r="750" ht="14.25" customHeight="1" x14ac:dyDescent="0.15"/>
    <row r="751" ht="14.25" customHeight="1" x14ac:dyDescent="0.15"/>
    <row r="752" ht="14.25" customHeight="1" x14ac:dyDescent="0.15"/>
    <row r="753" ht="14.25" customHeight="1" x14ac:dyDescent="0.15"/>
    <row r="754" ht="14.25" customHeight="1" x14ac:dyDescent="0.15"/>
    <row r="755" ht="14.25" customHeight="1" x14ac:dyDescent="0.15"/>
    <row r="756" ht="14.25" customHeight="1" x14ac:dyDescent="0.15"/>
    <row r="757" ht="14.25" customHeight="1" x14ac:dyDescent="0.15"/>
    <row r="758" ht="14.25" customHeight="1" x14ac:dyDescent="0.15"/>
    <row r="759" ht="14.25" customHeight="1" x14ac:dyDescent="0.15"/>
    <row r="760" ht="14.25" customHeight="1" x14ac:dyDescent="0.15"/>
    <row r="761" ht="14.25" customHeight="1" x14ac:dyDescent="0.15"/>
    <row r="762" ht="14.25" customHeight="1" x14ac:dyDescent="0.15"/>
    <row r="763" ht="14.25" customHeight="1" x14ac:dyDescent="0.15"/>
    <row r="764" ht="14.25" customHeight="1" x14ac:dyDescent="0.15"/>
    <row r="765" ht="14.25" customHeight="1" x14ac:dyDescent="0.15"/>
    <row r="766" ht="14.25" customHeight="1" x14ac:dyDescent="0.15"/>
    <row r="767" ht="14.25" customHeight="1" x14ac:dyDescent="0.15"/>
    <row r="768" ht="14.25" customHeight="1" x14ac:dyDescent="0.15"/>
    <row r="769" ht="14.25" customHeight="1" x14ac:dyDescent="0.15"/>
    <row r="770" ht="14.25" customHeight="1" x14ac:dyDescent="0.15"/>
    <row r="771" ht="14.25" customHeight="1" x14ac:dyDescent="0.15"/>
    <row r="772" ht="14.25" customHeight="1" x14ac:dyDescent="0.15"/>
    <row r="773" ht="14.25" customHeight="1" x14ac:dyDescent="0.15"/>
    <row r="774" ht="14.25" customHeight="1" x14ac:dyDescent="0.15"/>
    <row r="775" ht="14.25" customHeight="1" x14ac:dyDescent="0.15"/>
    <row r="776" ht="14.25" customHeight="1" x14ac:dyDescent="0.15"/>
    <row r="777" ht="14.25" customHeight="1" x14ac:dyDescent="0.15"/>
    <row r="778" ht="14.25" customHeight="1" x14ac:dyDescent="0.15"/>
    <row r="779" ht="14.25" customHeight="1" x14ac:dyDescent="0.15"/>
    <row r="780" ht="14.25" customHeight="1" x14ac:dyDescent="0.15"/>
    <row r="781" ht="14.25" customHeight="1" x14ac:dyDescent="0.15"/>
    <row r="782" ht="14.25" customHeight="1" x14ac:dyDescent="0.15"/>
    <row r="783" ht="14.25" customHeight="1" x14ac:dyDescent="0.15"/>
    <row r="784" ht="14.25" customHeight="1" x14ac:dyDescent="0.15"/>
    <row r="785" ht="14.25" customHeight="1" x14ac:dyDescent="0.15"/>
    <row r="786" ht="14.25" customHeight="1" x14ac:dyDescent="0.15"/>
    <row r="787" ht="14.25" customHeight="1" x14ac:dyDescent="0.15"/>
    <row r="788" ht="14.25" customHeight="1" x14ac:dyDescent="0.15"/>
    <row r="789" ht="14.25" customHeight="1" x14ac:dyDescent="0.15"/>
    <row r="790" ht="14.25" customHeight="1" x14ac:dyDescent="0.15"/>
    <row r="791" ht="14.25" customHeight="1" x14ac:dyDescent="0.15"/>
    <row r="792" ht="14.25" customHeight="1" x14ac:dyDescent="0.15"/>
    <row r="793" ht="14.25" customHeight="1" x14ac:dyDescent="0.15"/>
    <row r="794" ht="14.25" customHeight="1" x14ac:dyDescent="0.15"/>
    <row r="795" ht="14.25" customHeight="1" x14ac:dyDescent="0.15"/>
    <row r="796" ht="14.25" customHeight="1" x14ac:dyDescent="0.15"/>
    <row r="797" ht="14.25" customHeight="1" x14ac:dyDescent="0.15"/>
    <row r="798" ht="14.25" customHeight="1" x14ac:dyDescent="0.15"/>
    <row r="799" ht="14.25" customHeight="1" x14ac:dyDescent="0.15"/>
    <row r="800" ht="14.25" customHeight="1" x14ac:dyDescent="0.15"/>
    <row r="801" ht="14.25" customHeight="1" x14ac:dyDescent="0.15"/>
    <row r="802" ht="14.25" customHeight="1" x14ac:dyDescent="0.15"/>
    <row r="803" ht="14.25" customHeight="1" x14ac:dyDescent="0.15"/>
    <row r="804" ht="14.25" customHeight="1" x14ac:dyDescent="0.15"/>
    <row r="805" ht="14.25" customHeight="1" x14ac:dyDescent="0.15"/>
    <row r="806" ht="14.25" customHeight="1" x14ac:dyDescent="0.15"/>
    <row r="807" ht="14.25" customHeight="1" x14ac:dyDescent="0.15"/>
    <row r="808" ht="14.25" customHeight="1" x14ac:dyDescent="0.15"/>
    <row r="809" ht="14.25" customHeight="1" x14ac:dyDescent="0.15"/>
    <row r="810" ht="14.25" customHeight="1" x14ac:dyDescent="0.15"/>
    <row r="811" ht="14.25" customHeight="1" x14ac:dyDescent="0.15"/>
    <row r="812" ht="14.25" customHeight="1" x14ac:dyDescent="0.15"/>
    <row r="813" ht="14.25" customHeight="1" x14ac:dyDescent="0.15"/>
    <row r="814" ht="14.25" customHeight="1" x14ac:dyDescent="0.15"/>
    <row r="815" ht="14.25" customHeight="1" x14ac:dyDescent="0.15"/>
    <row r="816" ht="14.25" customHeight="1" x14ac:dyDescent="0.15"/>
    <row r="817" ht="14.25" customHeight="1" x14ac:dyDescent="0.15"/>
    <row r="818" ht="14.25" customHeight="1" x14ac:dyDescent="0.15"/>
    <row r="819" ht="14.25" customHeight="1" x14ac:dyDescent="0.15"/>
    <row r="820" ht="14.25" customHeight="1" x14ac:dyDescent="0.15"/>
    <row r="821" ht="14.25" customHeight="1" x14ac:dyDescent="0.15"/>
    <row r="822" ht="14.25" customHeight="1" x14ac:dyDescent="0.15"/>
    <row r="823" ht="14.25" customHeight="1" x14ac:dyDescent="0.15"/>
    <row r="824" ht="14.25" customHeight="1" x14ac:dyDescent="0.15"/>
    <row r="825" ht="14.25" customHeight="1" x14ac:dyDescent="0.15"/>
    <row r="826" ht="14.25" customHeight="1" x14ac:dyDescent="0.15"/>
    <row r="827" ht="14.25" customHeight="1" x14ac:dyDescent="0.15"/>
    <row r="828" ht="14.25" customHeight="1" x14ac:dyDescent="0.15"/>
    <row r="829" ht="14.25" customHeight="1" x14ac:dyDescent="0.15"/>
    <row r="830" ht="14.25" customHeight="1" x14ac:dyDescent="0.15"/>
    <row r="831" ht="14.25" customHeight="1" x14ac:dyDescent="0.15"/>
    <row r="832" ht="14.25" customHeight="1" x14ac:dyDescent="0.15"/>
    <row r="833" ht="14.25" customHeight="1" x14ac:dyDescent="0.15"/>
    <row r="834" ht="14.25" customHeight="1" x14ac:dyDescent="0.15"/>
    <row r="835" ht="14.25" customHeight="1" x14ac:dyDescent="0.15"/>
    <row r="836" ht="14.25" customHeight="1" x14ac:dyDescent="0.15"/>
    <row r="837" ht="14.25" customHeight="1" x14ac:dyDescent="0.15"/>
    <row r="838" ht="14.25" customHeight="1" x14ac:dyDescent="0.15"/>
    <row r="839" ht="14.25" customHeight="1" x14ac:dyDescent="0.15"/>
    <row r="840" ht="14.25" customHeight="1" x14ac:dyDescent="0.15"/>
    <row r="841" ht="14.25" customHeight="1" x14ac:dyDescent="0.15"/>
    <row r="842" ht="14.25" customHeight="1" x14ac:dyDescent="0.15"/>
    <row r="843" ht="14.25" customHeight="1" x14ac:dyDescent="0.15"/>
    <row r="844" ht="14.25" customHeight="1" x14ac:dyDescent="0.15"/>
    <row r="845" ht="14.25" customHeight="1" x14ac:dyDescent="0.15"/>
    <row r="846" ht="14.25" customHeight="1" x14ac:dyDescent="0.15"/>
    <row r="847" ht="14.25" customHeight="1" x14ac:dyDescent="0.15"/>
    <row r="848" ht="14.25" customHeight="1" x14ac:dyDescent="0.15"/>
    <row r="849" ht="14.25" customHeight="1" x14ac:dyDescent="0.15"/>
    <row r="850" ht="14.25" customHeight="1" x14ac:dyDescent="0.15"/>
    <row r="851" ht="14.25" customHeight="1" x14ac:dyDescent="0.15"/>
    <row r="852" ht="14.25" customHeight="1" x14ac:dyDescent="0.15"/>
    <row r="853" ht="14.25" customHeight="1" x14ac:dyDescent="0.15"/>
    <row r="854" ht="14.25" customHeight="1" x14ac:dyDescent="0.15"/>
    <row r="855" ht="14.25" customHeight="1" x14ac:dyDescent="0.15"/>
    <row r="856" ht="14.25" customHeight="1" x14ac:dyDescent="0.15"/>
    <row r="857" ht="14.25" customHeight="1" x14ac:dyDescent="0.15"/>
    <row r="858" ht="14.25" customHeight="1" x14ac:dyDescent="0.15"/>
    <row r="859" ht="14.25" customHeight="1" x14ac:dyDescent="0.15"/>
    <row r="860" ht="14.25" customHeight="1" x14ac:dyDescent="0.15"/>
    <row r="861" ht="14.25" customHeight="1" x14ac:dyDescent="0.15"/>
    <row r="862" ht="14.25" customHeight="1" x14ac:dyDescent="0.15"/>
    <row r="863" ht="14.25" customHeight="1" x14ac:dyDescent="0.15"/>
    <row r="864" ht="14.25" customHeight="1" x14ac:dyDescent="0.15"/>
    <row r="865" ht="14.25" customHeight="1" x14ac:dyDescent="0.15"/>
    <row r="866" ht="14.25" customHeight="1" x14ac:dyDescent="0.15"/>
    <row r="867" ht="14.25" customHeight="1" x14ac:dyDescent="0.15"/>
    <row r="868" ht="14.25" customHeight="1" x14ac:dyDescent="0.15"/>
    <row r="869" ht="14.25" customHeight="1" x14ac:dyDescent="0.15"/>
    <row r="870" ht="14.25" customHeight="1" x14ac:dyDescent="0.15"/>
    <row r="871" ht="14.25" customHeight="1" x14ac:dyDescent="0.15"/>
    <row r="872" ht="14.25" customHeight="1" x14ac:dyDescent="0.15"/>
    <row r="873" ht="14.25" customHeight="1" x14ac:dyDescent="0.15"/>
    <row r="874" ht="14.25" customHeight="1" x14ac:dyDescent="0.15"/>
    <row r="875" ht="14.25" customHeight="1" x14ac:dyDescent="0.15"/>
    <row r="876" ht="14.25" customHeight="1" x14ac:dyDescent="0.15"/>
    <row r="877" ht="14.25" customHeight="1" x14ac:dyDescent="0.15"/>
    <row r="878" ht="14.25" customHeight="1" x14ac:dyDescent="0.15"/>
    <row r="879" ht="14.25" customHeight="1" x14ac:dyDescent="0.15"/>
    <row r="880" ht="14.25" customHeight="1" x14ac:dyDescent="0.15"/>
    <row r="881" ht="14.25" customHeight="1" x14ac:dyDescent="0.15"/>
    <row r="882" ht="14.25" customHeight="1" x14ac:dyDescent="0.15"/>
    <row r="883" ht="14.25" customHeight="1" x14ac:dyDescent="0.15"/>
    <row r="884" ht="14.25" customHeight="1" x14ac:dyDescent="0.15"/>
    <row r="885" ht="14.25" customHeight="1" x14ac:dyDescent="0.15"/>
    <row r="886" ht="14.25" customHeight="1" x14ac:dyDescent="0.15"/>
    <row r="887" ht="14.25" customHeight="1" x14ac:dyDescent="0.15"/>
    <row r="888" ht="14.25" customHeight="1" x14ac:dyDescent="0.15"/>
    <row r="889" ht="14.25" customHeight="1" x14ac:dyDescent="0.15"/>
    <row r="890" ht="14.25" customHeight="1" x14ac:dyDescent="0.15"/>
    <row r="891" ht="14.25" customHeight="1" x14ac:dyDescent="0.15"/>
    <row r="892" ht="14.25" customHeight="1" x14ac:dyDescent="0.15"/>
    <row r="893" ht="14.25" customHeight="1" x14ac:dyDescent="0.15"/>
    <row r="894" ht="14.25" customHeight="1" x14ac:dyDescent="0.15"/>
    <row r="895" ht="14.25" customHeight="1" x14ac:dyDescent="0.15"/>
    <row r="896" ht="14.25" customHeight="1" x14ac:dyDescent="0.15"/>
    <row r="897" ht="14.25" customHeight="1" x14ac:dyDescent="0.15"/>
    <row r="898" ht="14.25" customHeight="1" x14ac:dyDescent="0.15"/>
    <row r="899" ht="14.25" customHeight="1" x14ac:dyDescent="0.15"/>
    <row r="900" ht="14.25" customHeight="1" x14ac:dyDescent="0.15"/>
    <row r="901" ht="14.25" customHeight="1" x14ac:dyDescent="0.15"/>
    <row r="902" ht="14.25" customHeight="1" x14ac:dyDescent="0.15"/>
    <row r="903" ht="14.25" customHeight="1" x14ac:dyDescent="0.15"/>
    <row r="904" ht="14.25" customHeight="1" x14ac:dyDescent="0.15"/>
    <row r="905" ht="14.25" customHeight="1" x14ac:dyDescent="0.15"/>
    <row r="906" ht="14.25" customHeight="1" x14ac:dyDescent="0.15"/>
    <row r="907" ht="14.25" customHeight="1" x14ac:dyDescent="0.15"/>
    <row r="908" ht="14.25" customHeight="1" x14ac:dyDescent="0.15"/>
    <row r="909" ht="14.25" customHeight="1" x14ac:dyDescent="0.15"/>
    <row r="910" ht="14.25" customHeight="1" x14ac:dyDescent="0.15"/>
    <row r="911" ht="14.25" customHeight="1" x14ac:dyDescent="0.15"/>
    <row r="912" ht="14.25" customHeight="1" x14ac:dyDescent="0.15"/>
    <row r="913" ht="14.25" customHeight="1" x14ac:dyDescent="0.15"/>
    <row r="914" ht="14.25" customHeight="1" x14ac:dyDescent="0.15"/>
    <row r="915" ht="14.25" customHeight="1" x14ac:dyDescent="0.15"/>
    <row r="916" ht="14.25" customHeight="1" x14ac:dyDescent="0.15"/>
    <row r="917" ht="14.25" customHeight="1" x14ac:dyDescent="0.15"/>
    <row r="918" ht="14.25" customHeight="1" x14ac:dyDescent="0.15"/>
    <row r="919" ht="14.25" customHeight="1" x14ac:dyDescent="0.15"/>
    <row r="920" ht="14.25" customHeight="1" x14ac:dyDescent="0.15"/>
    <row r="921" ht="14.25" customHeight="1" x14ac:dyDescent="0.15"/>
    <row r="922" ht="14.25" customHeight="1" x14ac:dyDescent="0.15"/>
    <row r="923" ht="14.25" customHeight="1" x14ac:dyDescent="0.15"/>
    <row r="924" ht="14.25" customHeight="1" x14ac:dyDescent="0.15"/>
    <row r="925" ht="14.25" customHeight="1" x14ac:dyDescent="0.15"/>
    <row r="926" ht="14.25" customHeight="1" x14ac:dyDescent="0.15"/>
    <row r="927" ht="14.25" customHeight="1" x14ac:dyDescent="0.15"/>
    <row r="928" ht="14.25" customHeight="1" x14ac:dyDescent="0.15"/>
    <row r="929" ht="14.25" customHeight="1" x14ac:dyDescent="0.15"/>
    <row r="930" ht="14.25" customHeight="1" x14ac:dyDescent="0.15"/>
    <row r="931" ht="14.25" customHeight="1" x14ac:dyDescent="0.15"/>
    <row r="932" ht="14.25" customHeight="1" x14ac:dyDescent="0.15"/>
    <row r="933" ht="14.25" customHeight="1" x14ac:dyDescent="0.15"/>
    <row r="934" ht="14.25" customHeight="1" x14ac:dyDescent="0.15"/>
    <row r="935" ht="14.25" customHeight="1" x14ac:dyDescent="0.15"/>
    <row r="936" ht="14.25" customHeight="1" x14ac:dyDescent="0.15"/>
    <row r="937" ht="14.25" customHeight="1" x14ac:dyDescent="0.15"/>
    <row r="938" ht="14.25" customHeight="1" x14ac:dyDescent="0.15"/>
    <row r="939" ht="14.25" customHeight="1" x14ac:dyDescent="0.15"/>
    <row r="940" ht="14.25" customHeight="1" x14ac:dyDescent="0.15"/>
    <row r="941" ht="14.25" customHeight="1" x14ac:dyDescent="0.15"/>
    <row r="942" ht="14.25" customHeight="1" x14ac:dyDescent="0.15"/>
    <row r="943" ht="14.25" customHeight="1" x14ac:dyDescent="0.15"/>
    <row r="944" ht="14.25" customHeight="1" x14ac:dyDescent="0.15"/>
    <row r="945" ht="14.25" customHeight="1" x14ac:dyDescent="0.15"/>
    <row r="946" ht="14.25" customHeight="1" x14ac:dyDescent="0.15"/>
    <row r="947" ht="14.25" customHeight="1" x14ac:dyDescent="0.15"/>
    <row r="948" ht="14.25" customHeight="1" x14ac:dyDescent="0.15"/>
    <row r="949" ht="14.25" customHeight="1" x14ac:dyDescent="0.15"/>
    <row r="950" ht="14.25" customHeight="1" x14ac:dyDescent="0.15"/>
    <row r="951" ht="14.25" customHeight="1" x14ac:dyDescent="0.15"/>
    <row r="952" ht="14.25" customHeight="1" x14ac:dyDescent="0.15"/>
    <row r="953" ht="14.25" customHeight="1" x14ac:dyDescent="0.15"/>
    <row r="954" ht="14.25" customHeight="1" x14ac:dyDescent="0.15"/>
    <row r="955" ht="14.25" customHeight="1" x14ac:dyDescent="0.15"/>
    <row r="956" ht="14.25" customHeight="1" x14ac:dyDescent="0.15"/>
    <row r="957" ht="14.25" customHeight="1" x14ac:dyDescent="0.15"/>
    <row r="958" ht="14.25" customHeight="1" x14ac:dyDescent="0.15"/>
    <row r="959" ht="14.25" customHeight="1" x14ac:dyDescent="0.15"/>
    <row r="960" ht="14.25" customHeight="1" x14ac:dyDescent="0.15"/>
    <row r="961" ht="14.25" customHeight="1" x14ac:dyDescent="0.15"/>
    <row r="962" ht="14.25" customHeight="1" x14ac:dyDescent="0.15"/>
    <row r="963" ht="14.25" customHeight="1" x14ac:dyDescent="0.15"/>
    <row r="964" ht="14.25" customHeight="1" x14ac:dyDescent="0.15"/>
    <row r="965" ht="14.25" customHeight="1" x14ac:dyDescent="0.15"/>
    <row r="966" ht="14.25" customHeight="1" x14ac:dyDescent="0.15"/>
    <row r="967" ht="14.25" customHeight="1" x14ac:dyDescent="0.15"/>
    <row r="968" ht="14.25" customHeight="1" x14ac:dyDescent="0.15"/>
    <row r="969" ht="14.25" customHeight="1" x14ac:dyDescent="0.15"/>
    <row r="970" ht="14.25" customHeight="1" x14ac:dyDescent="0.15"/>
    <row r="971" ht="14.25" customHeight="1" x14ac:dyDescent="0.15"/>
    <row r="972" ht="14.25" customHeight="1" x14ac:dyDescent="0.15"/>
    <row r="973" ht="14.25" customHeight="1" x14ac:dyDescent="0.15"/>
    <row r="974" ht="14.25" customHeight="1" x14ac:dyDescent="0.15"/>
    <row r="975" ht="14.25" customHeight="1" x14ac:dyDescent="0.15"/>
    <row r="976" ht="14.25" customHeight="1" x14ac:dyDescent="0.15"/>
    <row r="977" ht="14.25" customHeight="1" x14ac:dyDescent="0.15"/>
    <row r="978" ht="14.25" customHeight="1" x14ac:dyDescent="0.15"/>
    <row r="979" ht="14.25" customHeight="1" x14ac:dyDescent="0.15"/>
    <row r="980" ht="14.25" customHeight="1" x14ac:dyDescent="0.15"/>
    <row r="981" ht="14.25" customHeight="1" x14ac:dyDescent="0.15"/>
    <row r="982" ht="14.25" customHeight="1" x14ac:dyDescent="0.15"/>
    <row r="983" ht="14.25" customHeight="1" x14ac:dyDescent="0.15"/>
    <row r="984" ht="14.25" customHeight="1" x14ac:dyDescent="0.15"/>
    <row r="985" ht="14.25" customHeight="1" x14ac:dyDescent="0.15"/>
    <row r="986" ht="14.25" customHeight="1" x14ac:dyDescent="0.15"/>
    <row r="987" ht="14.25" customHeight="1" x14ac:dyDescent="0.15"/>
    <row r="988" ht="14.25" customHeight="1" x14ac:dyDescent="0.15"/>
    <row r="989" ht="14.25" customHeight="1" x14ac:dyDescent="0.15"/>
    <row r="990" ht="14.25" customHeight="1" x14ac:dyDescent="0.15"/>
    <row r="991" ht="14.25" customHeight="1" x14ac:dyDescent="0.15"/>
    <row r="992" ht="14.25" customHeight="1" x14ac:dyDescent="0.15"/>
    <row r="993" ht="14.25" customHeight="1" x14ac:dyDescent="0.15"/>
    <row r="994" ht="14.25" customHeight="1" x14ac:dyDescent="0.15"/>
    <row r="995" ht="14.25" customHeight="1" x14ac:dyDescent="0.15"/>
    <row r="996" ht="14.25" customHeight="1" x14ac:dyDescent="0.15"/>
    <row r="997" ht="14.25" customHeight="1" x14ac:dyDescent="0.15"/>
    <row r="998" ht="14.25" customHeight="1" x14ac:dyDescent="0.15"/>
    <row r="999" ht="14.25" customHeight="1" x14ac:dyDescent="0.15"/>
    <row r="1000" ht="14.25" customHeight="1" x14ac:dyDescent="0.15"/>
  </sheetData>
  <mergeCells count="1">
    <mergeCell ref="A1:E1"/>
  </mergeCells>
  <pageMargins left="0.7" right="0.7" top="0.75" bottom="0.75" header="0" footer="0"/>
  <pageSetup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Cash Flow</vt:lpstr>
      <vt:lpstr>DFMS Summary</vt:lpstr>
      <vt:lpstr>Sheet1</vt:lpstr>
      <vt:lpstr>Cash Report</vt:lpstr>
      <vt:lpstr>Web Report</vt:lpstr>
      <vt:lpstr>GO Format</vt:lpstr>
      <vt:lpstr>'Cash Report'!aod_1</vt:lpstr>
      <vt:lpstr>'Cash Report'!aod_2</vt:lpstr>
      <vt:lpstr>Months</vt:lpstr>
      <vt:lpstr>'Cash Flow'!Print_Area</vt:lpstr>
      <vt:lpstr>'Cash Flow'!Print_Titles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Acevedo</dc:creator>
  <cp:lastModifiedBy>Karen Thorpe</cp:lastModifiedBy>
  <cp:lastPrinted>2021-02-17T21:36:40Z</cp:lastPrinted>
  <dcterms:created xsi:type="dcterms:W3CDTF">2008-04-02T14:39:22Z</dcterms:created>
  <dcterms:modified xsi:type="dcterms:W3CDTF">2021-05-22T19:24:48Z</dcterms:modified>
</cp:coreProperties>
</file>